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개인파일\문서\"/>
    </mc:Choice>
  </mc:AlternateContent>
  <bookViews>
    <workbookView xWindow="0" yWindow="0" windowWidth="28770" windowHeight="12090" activeTab="2"/>
  </bookViews>
  <sheets>
    <sheet name="패치 전" sheetId="1" r:id="rId1"/>
    <sheet name="Sheet3" sheetId="3" r:id="rId2"/>
    <sheet name="패치 후" sheetId="2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" l="1"/>
  <c r="I75" i="2"/>
  <c r="I74" i="2"/>
  <c r="H74" i="2"/>
  <c r="H75" i="2"/>
  <c r="H76" i="2"/>
  <c r="C76" i="2"/>
  <c r="C75" i="2"/>
  <c r="C74" i="2"/>
  <c r="D74" i="2" s="1"/>
  <c r="E74" i="2"/>
  <c r="E75" i="2"/>
  <c r="E76" i="2"/>
  <c r="D76" i="2"/>
  <c r="D75" i="2"/>
  <c r="L28" i="2"/>
  <c r="F67" i="2"/>
  <c r="F66" i="2"/>
  <c r="F65" i="2"/>
  <c r="E67" i="2"/>
  <c r="E66" i="2"/>
  <c r="E65" i="2"/>
  <c r="D67" i="2"/>
  <c r="D66" i="2"/>
  <c r="D65" i="2"/>
  <c r="I28" i="2"/>
  <c r="H28" i="2"/>
  <c r="C67" i="2"/>
  <c r="C66" i="2"/>
  <c r="C65" i="2"/>
  <c r="D54" i="2"/>
  <c r="D53" i="2"/>
  <c r="D52" i="2"/>
  <c r="C54" i="2"/>
  <c r="C53" i="2"/>
  <c r="C52" i="2"/>
  <c r="J27" i="2"/>
  <c r="I46" i="2"/>
  <c r="J46" i="2" s="1"/>
  <c r="I45" i="2"/>
  <c r="I44" i="2"/>
  <c r="H46" i="2"/>
  <c r="H45" i="2"/>
  <c r="H44" i="2"/>
  <c r="D46" i="2"/>
  <c r="D45" i="2"/>
  <c r="D44" i="2"/>
  <c r="C46" i="2"/>
  <c r="C45" i="2"/>
  <c r="C44" i="2"/>
  <c r="E44" i="2"/>
  <c r="E46" i="2"/>
  <c r="H38" i="2"/>
  <c r="H37" i="2"/>
  <c r="H36" i="2"/>
  <c r="G38" i="2"/>
  <c r="G37" i="2"/>
  <c r="G36" i="2"/>
  <c r="D38" i="2"/>
  <c r="D37" i="2"/>
  <c r="D36" i="2"/>
  <c r="C38" i="2"/>
  <c r="C37" i="2"/>
  <c r="C36" i="2"/>
  <c r="L26" i="2"/>
  <c r="M27" i="2"/>
  <c r="K25" i="2"/>
  <c r="K26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25" i="2"/>
  <c r="H26" i="2" s="1"/>
  <c r="C25" i="2"/>
  <c r="C26" i="2" s="1"/>
  <c r="E25" i="2"/>
  <c r="E26" i="2" s="1"/>
  <c r="G25" i="2"/>
  <c r="G26" i="2" s="1"/>
  <c r="G2" i="2"/>
  <c r="H2" i="2"/>
  <c r="U60" i="2"/>
  <c r="T60" i="2"/>
  <c r="S60" i="2"/>
  <c r="R60" i="2"/>
  <c r="Q60" i="2"/>
  <c r="P60" i="2"/>
  <c r="O60" i="2"/>
  <c r="N60" i="2"/>
  <c r="J45" i="2"/>
  <c r="E45" i="2"/>
  <c r="J44" i="2"/>
  <c r="I25" i="2" l="1"/>
  <c r="I26" i="2" s="1"/>
  <c r="H27" i="2" s="1"/>
  <c r="C27" i="2"/>
  <c r="K27" i="2"/>
  <c r="M60" i="2"/>
  <c r="G27" i="2"/>
  <c r="E27" i="2"/>
  <c r="M66" i="2"/>
  <c r="F94" i="1"/>
  <c r="F93" i="1"/>
  <c r="F92" i="1"/>
  <c r="E94" i="1"/>
  <c r="E93" i="1"/>
  <c r="E92" i="1"/>
  <c r="D94" i="1"/>
  <c r="D93" i="1"/>
  <c r="D92" i="1"/>
  <c r="C94" i="1"/>
  <c r="C93" i="1"/>
  <c r="C92" i="1"/>
  <c r="G109" i="1"/>
  <c r="G108" i="1"/>
  <c r="G106" i="1"/>
  <c r="G105" i="1"/>
  <c r="G104" i="1"/>
  <c r="H107" i="1"/>
  <c r="H108" i="1"/>
  <c r="H109" i="1"/>
  <c r="H106" i="1"/>
  <c r="H104" i="1"/>
  <c r="H103" i="1"/>
  <c r="H102" i="1"/>
  <c r="H99" i="1"/>
  <c r="H100" i="1"/>
  <c r="H98" i="1"/>
  <c r="G99" i="1" s="1"/>
  <c r="H96" i="1"/>
  <c r="G93" i="1" s="1"/>
  <c r="H91" i="1"/>
  <c r="H92" i="1"/>
  <c r="H93" i="1"/>
  <c r="H94" i="1"/>
  <c r="H95" i="1"/>
  <c r="H90" i="1"/>
  <c r="D62" i="1"/>
  <c r="D61" i="1"/>
  <c r="C62" i="1"/>
  <c r="C61" i="1"/>
  <c r="D60" i="1"/>
  <c r="C60" i="1"/>
  <c r="M61" i="1"/>
  <c r="M62" i="1"/>
  <c r="M60" i="1"/>
  <c r="N60" i="1" s="1"/>
  <c r="L61" i="1"/>
  <c r="L62" i="1"/>
  <c r="L60" i="1"/>
  <c r="N62" i="1"/>
  <c r="N61" i="1"/>
  <c r="I61" i="1"/>
  <c r="I62" i="1"/>
  <c r="I60" i="1"/>
  <c r="H61" i="1"/>
  <c r="H62" i="1"/>
  <c r="H60" i="1"/>
  <c r="G61" i="1"/>
  <c r="G62" i="1"/>
  <c r="G60" i="1"/>
  <c r="J83" i="1"/>
  <c r="I83" i="1"/>
  <c r="H83" i="1"/>
  <c r="G83" i="1"/>
  <c r="M78" i="1"/>
  <c r="M84" i="1"/>
  <c r="O84" i="1"/>
  <c r="P84" i="1"/>
  <c r="Q84" i="1"/>
  <c r="R84" i="1"/>
  <c r="S84" i="1"/>
  <c r="T84" i="1"/>
  <c r="U84" i="1"/>
  <c r="N84" i="1"/>
  <c r="C84" i="1"/>
  <c r="C83" i="1"/>
  <c r="D83" i="1"/>
  <c r="E83" i="1"/>
  <c r="B83" i="1"/>
  <c r="U78" i="1"/>
  <c r="P78" i="1"/>
  <c r="Q78" i="1"/>
  <c r="R78" i="1"/>
  <c r="S78" i="1"/>
  <c r="T78" i="1"/>
  <c r="O78" i="1"/>
  <c r="N78" i="1"/>
  <c r="J52" i="1" l="1"/>
  <c r="J53" i="1" s="1"/>
  <c r="I52" i="1"/>
  <c r="I53" i="1" s="1"/>
  <c r="H52" i="1"/>
  <c r="G52" i="1"/>
  <c r="G53" i="1" s="1"/>
  <c r="F52" i="1"/>
  <c r="F53" i="1" s="1"/>
  <c r="E52" i="1"/>
  <c r="E53" i="1" s="1"/>
  <c r="D52" i="1"/>
  <c r="C52" i="1"/>
  <c r="I26" i="1"/>
  <c r="J26" i="1"/>
  <c r="I25" i="1"/>
  <c r="J25" i="1"/>
  <c r="J27" i="1" s="1"/>
  <c r="G25" i="1"/>
  <c r="G26" i="1" s="1"/>
  <c r="H25" i="1"/>
  <c r="H27" i="1" s="1"/>
  <c r="E25" i="1"/>
  <c r="E26" i="1" s="1"/>
  <c r="F25" i="1"/>
  <c r="F26" i="1" s="1"/>
  <c r="D25" i="1"/>
  <c r="D27" i="1" s="1"/>
  <c r="C25" i="1"/>
  <c r="F27" i="1" l="1"/>
  <c r="H26" i="1"/>
  <c r="D54" i="1"/>
  <c r="H54" i="1"/>
  <c r="J54" i="1"/>
  <c r="F54" i="1"/>
  <c r="H53" i="1"/>
</calcChain>
</file>

<file path=xl/comments1.xml><?xml version="1.0" encoding="utf-8"?>
<comments xmlns="http://schemas.openxmlformats.org/spreadsheetml/2006/main">
  <authors>
    <author>조재욱</author>
  </authors>
  <commentList>
    <comment ref="G2" authorId="0" shapeId="0">
      <text>
        <r>
          <rPr>
            <b/>
            <sz val="9"/>
            <color indexed="81"/>
            <rFont val="돋움"/>
            <family val="3"/>
            <charset val="129"/>
          </rPr>
          <t>원래는 소숫점 넷째자리를 버림하는거지만 엑셀 초보이므로 그냥 pass</t>
        </r>
      </text>
    </comment>
  </commentList>
</comments>
</file>

<file path=xl/sharedStrings.xml><?xml version="1.0" encoding="utf-8"?>
<sst xmlns="http://schemas.openxmlformats.org/spreadsheetml/2006/main" count="176" uniqueCount="119">
  <si>
    <t>공격력 500</t>
    <phoneticPr fontId="1" type="noConversion"/>
  </si>
  <si>
    <t>시크릿가든 7렙</t>
    <phoneticPr fontId="1" type="noConversion"/>
  </si>
  <si>
    <t>표시딜 1017</t>
    <phoneticPr fontId="1" type="noConversion"/>
  </si>
  <si>
    <t>치뎀 200%</t>
    <phoneticPr fontId="1" type="noConversion"/>
  </si>
  <si>
    <t>스킬딜량</t>
    <phoneticPr fontId="1" type="noConversion"/>
  </si>
  <si>
    <t>노크리</t>
    <phoneticPr fontId="1" type="noConversion"/>
  </si>
  <si>
    <t>크리</t>
    <phoneticPr fontId="1" type="noConversion"/>
  </si>
  <si>
    <t>허수아비 네임드 루인딜량 (4스택)</t>
    <phoneticPr fontId="1" type="noConversion"/>
  </si>
  <si>
    <t>2트포 無</t>
    <phoneticPr fontId="1" type="noConversion"/>
  </si>
  <si>
    <t>노크리</t>
    <phoneticPr fontId="1" type="noConversion"/>
  </si>
  <si>
    <t>크리</t>
    <phoneticPr fontId="1" type="noConversion"/>
  </si>
  <si>
    <t>2트포 좌</t>
    <phoneticPr fontId="1" type="noConversion"/>
  </si>
  <si>
    <t>2트포 우</t>
    <phoneticPr fontId="1" type="noConversion"/>
  </si>
  <si>
    <t>노크리</t>
    <phoneticPr fontId="1" type="noConversion"/>
  </si>
  <si>
    <t>크리</t>
    <phoneticPr fontId="1" type="noConversion"/>
  </si>
  <si>
    <t>노크리</t>
    <phoneticPr fontId="1" type="noConversion"/>
  </si>
  <si>
    <t>크리</t>
    <phoneticPr fontId="1" type="noConversion"/>
  </si>
  <si>
    <t>※ 특화보정 제외값 -&gt;</t>
    <phoneticPr fontId="1" type="noConversion"/>
  </si>
  <si>
    <t>2트포 우 : ??</t>
    <phoneticPr fontId="1" type="noConversion"/>
  </si>
  <si>
    <t>無에 비해 기본 루인딜 19.3% 낮음</t>
    <phoneticPr fontId="1" type="noConversion"/>
  </si>
  <si>
    <t>수련장 알리페르 루인딜량 (4스택)</t>
    <phoneticPr fontId="1" type="noConversion"/>
  </si>
  <si>
    <t>허수아비 네임드 스킬딜량</t>
    <phoneticPr fontId="1" type="noConversion"/>
  </si>
  <si>
    <t>시크릿가든 10렙</t>
    <phoneticPr fontId="1" type="noConversion"/>
  </si>
  <si>
    <t>3트포 좌</t>
    <phoneticPr fontId="1" type="noConversion"/>
  </si>
  <si>
    <t>표시딜 1079</t>
    <phoneticPr fontId="1" type="noConversion"/>
  </si>
  <si>
    <t>그 외 조건 동등</t>
    <phoneticPr fontId="1" type="noConversion"/>
  </si>
  <si>
    <t>2트포 우</t>
    <phoneticPr fontId="1" type="noConversion"/>
  </si>
  <si>
    <t>뿐만 아니라 기본 스킬딜도 저 비율만큼 낮음</t>
    <phoneticPr fontId="1" type="noConversion"/>
  </si>
  <si>
    <t>2트포 좌 노크리</t>
    <phoneticPr fontId="1" type="noConversion"/>
  </si>
  <si>
    <t>2트포 중 노크리</t>
    <phoneticPr fontId="1" type="noConversion"/>
  </si>
  <si>
    <t>2트포 우 노크리</t>
    <phoneticPr fontId="1" type="noConversion"/>
  </si>
  <si>
    <t>치확 (스킬 + 특성)</t>
    <phoneticPr fontId="1" type="noConversion"/>
  </si>
  <si>
    <t>(속성저항 없다고 가정.. 알리페르로
데이터 모으면 되지만 귀찮으므로 pass..)</t>
    <phoneticPr fontId="1" type="noConversion"/>
  </si>
  <si>
    <t>허수아비 네임드 기대 딜량
(공 500 / 특화0 / 치피 기본)</t>
    <phoneticPr fontId="1" type="noConversion"/>
  </si>
  <si>
    <t>3트포 폭우 루인뎀 / 2트포 중, 우 크리뎀은 2배로 계산해도 무방</t>
    <phoneticPr fontId="1" type="noConversion"/>
  </si>
  <si>
    <t>표기딜 1726</t>
    <phoneticPr fontId="1" type="noConversion"/>
  </si>
  <si>
    <t>시크릿가든 기댓값 (1트포 우, 3트포 좌)</t>
    <phoneticPr fontId="1" type="noConversion"/>
  </si>
  <si>
    <t>2트포 좌 크리</t>
    <phoneticPr fontId="1" type="noConversion"/>
  </si>
  <si>
    <t>3트포 약포 루인뎀 / 2트포 중, 우 크리뎀은 2배로 계산해도 무방</t>
    <phoneticPr fontId="1" type="noConversion"/>
  </si>
  <si>
    <t>폭우레인 기댓값 (1트포 중)</t>
    <phoneticPr fontId="1" type="noConversion"/>
  </si>
  <si>
    <t>2트포 좌</t>
    <phoneticPr fontId="1" type="noConversion"/>
  </si>
  <si>
    <t>2트포 중</t>
    <phoneticPr fontId="1" type="noConversion"/>
  </si>
  <si>
    <t>2트포 우</t>
    <phoneticPr fontId="1" type="noConversion"/>
  </si>
  <si>
    <t>약포레인 기댓값 (1트포 중)</t>
    <phoneticPr fontId="1" type="noConversion"/>
  </si>
  <si>
    <t>치확
(스킬+특성)</t>
    <phoneticPr fontId="1" type="noConversion"/>
  </si>
  <si>
    <t>루인</t>
    <phoneticPr fontId="1" type="noConversion"/>
  </si>
  <si>
    <t>특화 184</t>
    <phoneticPr fontId="1" type="noConversion"/>
  </si>
  <si>
    <t>특화 184</t>
    <phoneticPr fontId="1" type="noConversion"/>
  </si>
  <si>
    <t>2트포 좌에는 스택딜 +40%라 나와있지만
실제로는 +80%로 적용됨. 버그인듯</t>
    <phoneticPr fontId="1" type="noConversion"/>
  </si>
  <si>
    <t>2트포 우의 데미지 +25%에
스킬딜량 말고도 루인딜도
+25%가 적용됨. 버그 or 툴팁설명 부재</t>
    <phoneticPr fontId="1" type="noConversion"/>
  </si>
  <si>
    <t>특화 184
(루인 +9.2%)</t>
    <phoneticPr fontId="1" type="noConversion"/>
  </si>
  <si>
    <t>2트포 좌</t>
    <phoneticPr fontId="1" type="noConversion"/>
  </si>
  <si>
    <t>2트포 우</t>
    <phoneticPr fontId="1" type="noConversion"/>
  </si>
  <si>
    <t>2트포 중</t>
    <phoneticPr fontId="1" type="noConversion"/>
  </si>
  <si>
    <t>14번 시행</t>
    <phoneticPr fontId="1" type="noConversion"/>
  </si>
  <si>
    <t>10번시행</t>
    <phoneticPr fontId="1" type="noConversion"/>
  </si>
  <si>
    <t>노크리 데미지</t>
    <phoneticPr fontId="1" type="noConversion"/>
  </si>
  <si>
    <t>중첩 이보크 기댓값 (1트포 중)</t>
    <phoneticPr fontId="1" type="noConversion"/>
  </si>
  <si>
    <t>2트포 좌</t>
    <phoneticPr fontId="1" type="noConversion"/>
  </si>
  <si>
    <t>2트포 중 3틱</t>
    <phoneticPr fontId="1" type="noConversion"/>
  </si>
  <si>
    <t>2트포 중 4틱</t>
    <phoneticPr fontId="1" type="noConversion"/>
  </si>
  <si>
    <t>2트포 우</t>
    <phoneticPr fontId="1" type="noConversion"/>
  </si>
  <si>
    <t>크리뎀</t>
    <phoneticPr fontId="1" type="noConversion"/>
  </si>
  <si>
    <t>독데미지에 대한 의문점. 이거 개소리같음.
"적에게 주는 피해가 30% 감소하고, 매초 15%씩 중독 피해를 주고 최대 3회 중첩 가능하다."
3중첩 데미지가 평균 틱당 3693 정도 나오는데 이 수치가 어떤 값의 45%인지 모르겠음.
기존 이보크 깡뎀의 45%라기에는 적은 수치이고(깡뎀 1타의 39% 수준),
30% 까인 이보크의 45%라기에는 큰 수치임(마나중독 1타의 56% 수준).
허수아비가 독 저항같은게 있나해서 다른 보스몹 켜두고 실험해봤는데 마찬가지임. 저항 문제는 아닌듯함.
내가 뭐 독 특성 더 있던것도 아니고.. 아마 단순히 버그인듯 싶다. 
그리고 독뎀 3틱 들어갈때 있고 4틱 들어갈때있는데 확률 반반 랜덤임. 역시 아르카나
그리고 독뎀도 중첩보다 분할이 강하다는 소리가 있던데 그거 개소리니까 거르면 되겠음.
각 타수 데미지 기준으로 독뎀 들어가는게 아니라 첫타 기준으로 들어감.
두번 때리니까 2400 2400 나오더라. 그냥 마나중독은 '무조건' 중첩 써야함.</t>
    <phoneticPr fontId="1" type="noConversion"/>
  </si>
  <si>
    <t>※ 루인딜은 백어택 영향을 안받음. 스킬딜에만 20% 추가 데미지를 줌.</t>
  </si>
  <si>
    <t>※ 루인딜은 백어택 영향을 안받음. 스킬딜에만 20% 추가 데미지를 줌.</t>
    <phoneticPr fontId="1" type="noConversion"/>
  </si>
  <si>
    <t>허수아비가 암속성 저항 같은게 있어 보임</t>
    <phoneticPr fontId="1" type="noConversion"/>
  </si>
  <si>
    <t>알리페르한테는 데미지감소 없이
루인딜, 스킬딜 그대로 들어가는걸 알 수 있음
(2트포 노크리 데미지 40% 차이이므로)
허수아비가 암속성 저항 같은게 있어 보임</t>
    <phoneticPr fontId="1" type="noConversion"/>
  </si>
  <si>
    <t>p</t>
    <phoneticPr fontId="1" type="noConversion"/>
  </si>
  <si>
    <t>공격력</t>
    <phoneticPr fontId="1" type="noConversion"/>
  </si>
  <si>
    <t>스텟상</t>
    <phoneticPr fontId="1" type="noConversion"/>
  </si>
  <si>
    <t>특화</t>
    <phoneticPr fontId="1" type="noConversion"/>
  </si>
  <si>
    <t>치뎀</t>
    <phoneticPr fontId="1" type="noConversion"/>
  </si>
  <si>
    <t>입력가능 -&gt;</t>
    <phoneticPr fontId="1" type="noConversion"/>
  </si>
  <si>
    <t>4스택 루인펑딜</t>
    <phoneticPr fontId="1" type="noConversion"/>
  </si>
  <si>
    <t>치명</t>
    <phoneticPr fontId="1" type="noConversion"/>
  </si>
  <si>
    <t>특화특성 추가루인딜</t>
    <phoneticPr fontId="1" type="noConversion"/>
  </si>
  <si>
    <t>치명특성 추가치확</t>
    <phoneticPr fontId="1" type="noConversion"/>
  </si>
  <si>
    <t>공 500 기준 표기딜 1726</t>
    <phoneticPr fontId="1" type="noConversion"/>
  </si>
  <si>
    <t>표시딜 1081</t>
    <phoneticPr fontId="1" type="noConversion"/>
  </si>
  <si>
    <t>10렙 시크릿가든 깡스킬딜</t>
    <phoneticPr fontId="1" type="noConversion"/>
  </si>
  <si>
    <t>특화 104 기준 평균</t>
    <phoneticPr fontId="1" type="noConversion"/>
  </si>
  <si>
    <t>특화 포함 값</t>
    <phoneticPr fontId="1" type="noConversion"/>
  </si>
  <si>
    <t>표시딜 1726
노크리</t>
    <phoneticPr fontId="1" type="noConversion"/>
  </si>
  <si>
    <t>10렙  레인 깡스킬딜</t>
    <phoneticPr fontId="1" type="noConversion"/>
  </si>
  <si>
    <t>10렙 다크 리저렉션 깡스킬딜</t>
    <phoneticPr fontId="1" type="noConversion"/>
  </si>
  <si>
    <t>앞에 2개 뎀
표시딜 662</t>
    <phoneticPr fontId="1" type="noConversion"/>
  </si>
  <si>
    <t>마지막 쿵쾅뎀
표시딜 5306</t>
    <phoneticPr fontId="1" type="noConversion"/>
  </si>
  <si>
    <t>허수아비 네임드
트포 안찍은 기준</t>
    <phoneticPr fontId="1" type="noConversion"/>
  </si>
  <si>
    <t>10렙 포카드 깡스킬딜</t>
    <phoneticPr fontId="1" type="noConversion"/>
  </si>
  <si>
    <t>표시딜 1822</t>
    <phoneticPr fontId="1" type="noConversion"/>
  </si>
  <si>
    <t>표시딜 9561</t>
    <phoneticPr fontId="1" type="noConversion"/>
  </si>
  <si>
    <t>1중첩 당 평균</t>
    <phoneticPr fontId="1" type="noConversion"/>
  </si>
  <si>
    <t>4초 시크릿가든 기댓값 (1트포 좌, 3트포 좌)</t>
    <phoneticPr fontId="1" type="noConversion"/>
  </si>
  <si>
    <t>입력가능</t>
    <phoneticPr fontId="1" type="noConversion"/>
  </si>
  <si>
    <t>입력가능</t>
    <phoneticPr fontId="1" type="noConversion"/>
  </si>
  <si>
    <t>입력가능</t>
    <phoneticPr fontId="1" type="noConversion"/>
  </si>
  <si>
    <t>허수아비 네임드 기대 딜량
(공 500 / 치피 기본) - 특화는 위에서 입력 가능</t>
    <phoneticPr fontId="1" type="noConversion"/>
  </si>
  <si>
    <t>리저렉션 독뎀</t>
    <phoneticPr fontId="1" type="noConversion"/>
  </si>
  <si>
    <t>이보크 독 3중첩뎀</t>
    <phoneticPr fontId="1" type="noConversion"/>
  </si>
  <si>
    <t>항상 3틱.. 3틱 합</t>
    <phoneticPr fontId="1" type="noConversion"/>
  </si>
  <si>
    <t>10렙 이보크 깡스킬딜</t>
    <phoneticPr fontId="1" type="noConversion"/>
  </si>
  <si>
    <t>3중첩이 3번만 들어갈 때도 있고
2중첩 1번 + 3중첩 3번
총 4번 들어갈때도 있음. 확률은 반반
평균 총 1중첩씩 10틱 들어간다고 치면 됨.</t>
    <phoneticPr fontId="1" type="noConversion"/>
  </si>
  <si>
    <t>포카드 기댓값 (3트포 우)</t>
    <phoneticPr fontId="1" type="noConversion"/>
  </si>
  <si>
    <t>2트포 중</t>
    <phoneticPr fontId="1" type="noConversion"/>
  </si>
  <si>
    <t>공격력 44% 증가는 실 데미지가 공격력별로 증가율이 달라서 걍 안넣었음. (스택터지는딜, 깡스킬딜 둘 다 고정데미지 + 특정계수x공격력의 매커니즘)
고정데미지가 얼마인지, 계수가 얼마인지 확실히 알아내면 선택하기 쉬울듯. 일단 공격력 500 기준으로는 대충 데미지 25% 정도 증가함
치확 40% 기준 기대딜량이 5000 정도 차이나니까 버프를 주고 4초 내로 데미지 50000 더 넣을 수 있으면 포스택카드 쓰면 됨.
(포카드 2번써야 버프 생기고, 데미지 25% 즉.. 5000x2x4x1.25 만큼 더 넣어줘야 이득이 생김)
안믿긴다면 11000 + 1.25a ≥ 16000 + a 계산해보면 됨. a ≥ 20000 이 나오는데 우리가 눈으로 보는딜은 공증버프받은 딜이니까 저기서 1.25를 더 곱해야함 ㅎ
아 그리고 연속공격 포카드를 2번써야지 쓸때마다 4초 버프가 켜지니까 저기서 또 2를 곱해야함 그러면 5만 정도 나옴
치확 10% 인 채로 포카드 써도 4초버프받고 버프시간내로 4만딜은 넣어야하네</t>
    <phoneticPr fontId="1" type="noConversion"/>
  </si>
  <si>
    <t>다크리저렉션 기댓값 (1트포 중)...이지만 허수아비는 마방감소 적용안되므로 실제딜은 더 높음)</t>
    <phoneticPr fontId="1" type="noConversion"/>
  </si>
  <si>
    <t>40 이상만 입력</t>
    <phoneticPr fontId="1" type="noConversion"/>
  </si>
  <si>
    <t>특화 포함</t>
    <phoneticPr fontId="1" type="noConversion"/>
  </si>
  <si>
    <t>중독리저 2트포 중</t>
    <phoneticPr fontId="1" type="noConversion"/>
  </si>
  <si>
    <t>중독리저 2트포 우</t>
    <phoneticPr fontId="1" type="noConversion"/>
  </si>
  <si>
    <t>분노리저 2트포 중</t>
    <phoneticPr fontId="1" type="noConversion"/>
  </si>
  <si>
    <t>분노리저 2트포 우</t>
    <phoneticPr fontId="1" type="noConversion"/>
  </si>
  <si>
    <t>분할 이보크 기댓값 (1트포 중)</t>
    <phoneticPr fontId="1" type="noConversion"/>
  </si>
  <si>
    <t>2트포 중</t>
    <phoneticPr fontId="1" type="noConversion"/>
  </si>
  <si>
    <t>독뎀같은경우 3중첩 3번
또는
3중첩 3번 + 2중첩 한번
이렇게 들어가는데
거의 반반으로 들어가니
1중첩 10번으로 계산함.</t>
    <phoneticPr fontId="1" type="noConversion"/>
  </si>
  <si>
    <t>이거 연마효과 +19% 받은거임</t>
    <phoneticPr fontId="1" type="noConversion"/>
  </si>
  <si>
    <t>연마효과 제외</t>
    <phoneticPr fontId="1" type="noConversion"/>
  </si>
  <si>
    <t>독뎀은 연마효과 안받음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</si>
</sst>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0.00&quot; 배&quot;"/>
    <numFmt numFmtId="178" formatCode="0&quot;%&quot;"/>
    <numFmt numFmtId="179" formatCode="0.0&quot; %&quot;"/>
    <numFmt numFmtId="180" formatCode="&quot;+&quot;0.0&quot;%&quot;"/>
    <numFmt numFmtId="181" formatCode="&quot;깡뎀&quot;\ 0.0"/>
    <numFmt numFmtId="182" formatCode="&quot;3틱뎀&quot;\ 0.0"/>
    <numFmt numFmtId="183" formatCode="&quot;4틱뎀&quot;\ 0.0"/>
    <numFmt numFmtId="184" formatCode="&quot;합뎀&quot;\ 0.0"/>
    <numFmt numFmtId="190" formatCode="&quot;+ &quot;0.00&quot;%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28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190" fontId="0" fillId="0" borderId="30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9" fontId="0" fillId="0" borderId="0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7" fillId="0" borderId="0" xfId="0" applyFont="1" applyAlignment="1">
      <alignment vertical="center" wrapText="1"/>
    </xf>
    <xf numFmtId="176" fontId="0" fillId="0" borderId="29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9"/>
  <sheetViews>
    <sheetView topLeftCell="B76" workbookViewId="0">
      <selection activeCell="D110" sqref="D110"/>
    </sheetView>
  </sheetViews>
  <sheetFormatPr defaultRowHeight="16.5" x14ac:dyDescent="0.3"/>
  <cols>
    <col min="1" max="1" width="9" style="1"/>
    <col min="2" max="21" width="18.625" style="1" customWidth="1"/>
    <col min="22" max="16384" width="9" style="1"/>
  </cols>
  <sheetData>
    <row r="2" spans="2:10" ht="33" x14ac:dyDescent="0.3">
      <c r="C2" s="7" t="s">
        <v>0</v>
      </c>
      <c r="D2" s="7" t="s">
        <v>3</v>
      </c>
      <c r="E2" s="8" t="s">
        <v>50</v>
      </c>
    </row>
    <row r="4" spans="2:10" x14ac:dyDescent="0.3">
      <c r="C4" s="59" t="s">
        <v>21</v>
      </c>
      <c r="D4" s="59"/>
      <c r="E4" s="69" t="s">
        <v>7</v>
      </c>
      <c r="F4" s="70"/>
      <c r="G4" s="70"/>
      <c r="H4" s="70"/>
      <c r="I4" s="70"/>
      <c r="J4" s="71"/>
    </row>
    <row r="5" spans="2:10" x14ac:dyDescent="0.3">
      <c r="C5" s="60" t="s">
        <v>5</v>
      </c>
      <c r="D5" s="62" t="s">
        <v>6</v>
      </c>
      <c r="E5" s="64" t="s">
        <v>8</v>
      </c>
      <c r="F5" s="65"/>
      <c r="G5" s="64" t="s">
        <v>11</v>
      </c>
      <c r="H5" s="65"/>
      <c r="I5" s="67" t="s">
        <v>12</v>
      </c>
      <c r="J5" s="68"/>
    </row>
    <row r="6" spans="2:10" x14ac:dyDescent="0.3">
      <c r="C6" s="61"/>
      <c r="D6" s="63"/>
      <c r="E6" s="16" t="s">
        <v>9</v>
      </c>
      <c r="F6" s="17" t="s">
        <v>10</v>
      </c>
      <c r="G6" s="22" t="s">
        <v>13</v>
      </c>
      <c r="H6" s="21" t="s">
        <v>14</v>
      </c>
      <c r="I6" s="9" t="s">
        <v>15</v>
      </c>
      <c r="J6" s="21" t="s">
        <v>16</v>
      </c>
    </row>
    <row r="7" spans="2:10" x14ac:dyDescent="0.3">
      <c r="B7" s="1" t="s">
        <v>1</v>
      </c>
      <c r="C7" s="3">
        <v>926</v>
      </c>
      <c r="D7" s="10">
        <v>1879</v>
      </c>
      <c r="E7" s="3">
        <v>4623</v>
      </c>
      <c r="F7" s="18">
        <v>9344</v>
      </c>
      <c r="G7" s="4">
        <v>6318</v>
      </c>
      <c r="H7" s="18">
        <v>12807</v>
      </c>
      <c r="I7" s="4">
        <v>3724</v>
      </c>
      <c r="J7" s="19">
        <v>11804</v>
      </c>
    </row>
    <row r="8" spans="2:10" x14ac:dyDescent="0.3">
      <c r="B8" s="1" t="s">
        <v>2</v>
      </c>
      <c r="C8" s="4">
        <v>965</v>
      </c>
      <c r="D8" s="11">
        <v>1951</v>
      </c>
      <c r="E8" s="4">
        <v>4676</v>
      </c>
      <c r="F8" s="19">
        <v>9383</v>
      </c>
      <c r="G8" s="4">
        <v>6400</v>
      </c>
      <c r="H8" s="19">
        <v>13156</v>
      </c>
      <c r="I8" s="4">
        <v>3801</v>
      </c>
      <c r="J8" s="19">
        <v>11755</v>
      </c>
    </row>
    <row r="9" spans="2:10" x14ac:dyDescent="0.3">
      <c r="C9" s="4">
        <v>949</v>
      </c>
      <c r="D9" s="11">
        <v>1886</v>
      </c>
      <c r="E9" s="4">
        <v>4581</v>
      </c>
      <c r="F9" s="19">
        <v>9562</v>
      </c>
      <c r="G9" s="4">
        <v>6629</v>
      </c>
      <c r="H9" s="19">
        <v>12744</v>
      </c>
      <c r="I9" s="4">
        <v>3624</v>
      </c>
      <c r="J9" s="19">
        <v>11226</v>
      </c>
    </row>
    <row r="10" spans="2:10" x14ac:dyDescent="0.3">
      <c r="C10" s="4">
        <v>920</v>
      </c>
      <c r="D10" s="11">
        <v>1872</v>
      </c>
      <c r="E10" s="4">
        <v>4516</v>
      </c>
      <c r="F10" s="19">
        <v>9051</v>
      </c>
      <c r="G10" s="4">
        <v>6656</v>
      </c>
      <c r="H10" s="19">
        <v>12744</v>
      </c>
      <c r="I10" s="4">
        <v>3909</v>
      </c>
      <c r="J10" s="19">
        <v>11528</v>
      </c>
    </row>
    <row r="11" spans="2:10" x14ac:dyDescent="0.3">
      <c r="C11" s="4">
        <v>990</v>
      </c>
      <c r="D11" s="11">
        <v>2005</v>
      </c>
      <c r="E11" s="4">
        <v>4767</v>
      </c>
      <c r="F11" s="19">
        <v>9096</v>
      </c>
      <c r="G11" s="4">
        <v>6607</v>
      </c>
      <c r="H11" s="19">
        <v>13062</v>
      </c>
      <c r="I11" s="4">
        <v>3727</v>
      </c>
      <c r="J11" s="19">
        <v>11763</v>
      </c>
    </row>
    <row r="12" spans="2:10" x14ac:dyDescent="0.3">
      <c r="C12" s="4">
        <v>942</v>
      </c>
      <c r="D12" s="11">
        <v>1904</v>
      </c>
      <c r="E12" s="4">
        <v>4534</v>
      </c>
      <c r="F12" s="19">
        <v>9181</v>
      </c>
      <c r="G12" s="4">
        <v>6427</v>
      </c>
      <c r="H12" s="19">
        <v>12965</v>
      </c>
      <c r="I12" s="4">
        <v>3635</v>
      </c>
      <c r="J12" s="19">
        <v>11541</v>
      </c>
    </row>
    <row r="13" spans="2:10" x14ac:dyDescent="0.3">
      <c r="C13" s="4">
        <v>954</v>
      </c>
      <c r="D13" s="11">
        <v>1900</v>
      </c>
      <c r="E13" s="4">
        <v>4895</v>
      </c>
      <c r="F13" s="19">
        <v>9761</v>
      </c>
      <c r="G13" s="4">
        <v>6693</v>
      </c>
      <c r="H13" s="19">
        <v>12799</v>
      </c>
      <c r="I13" s="4">
        <v>3599</v>
      </c>
      <c r="J13" s="19">
        <v>11675</v>
      </c>
    </row>
    <row r="14" spans="2:10" x14ac:dyDescent="0.3">
      <c r="C14" s="4">
        <v>994</v>
      </c>
      <c r="D14" s="11">
        <v>1970</v>
      </c>
      <c r="E14" s="4">
        <v>4462</v>
      </c>
      <c r="F14" s="19">
        <v>9431</v>
      </c>
      <c r="G14" s="4">
        <v>6369</v>
      </c>
      <c r="H14" s="19">
        <v>13276</v>
      </c>
      <c r="I14" s="4">
        <v>3762</v>
      </c>
      <c r="J14" s="19">
        <v>10863</v>
      </c>
    </row>
    <row r="15" spans="2:10" x14ac:dyDescent="0.3">
      <c r="C15" s="4">
        <v>968</v>
      </c>
      <c r="D15" s="11">
        <v>1915</v>
      </c>
      <c r="E15" s="4">
        <v>4721</v>
      </c>
      <c r="F15" s="19">
        <v>8914</v>
      </c>
      <c r="G15" s="4">
        <v>6488</v>
      </c>
      <c r="H15" s="19">
        <v>12908</v>
      </c>
      <c r="I15" s="4">
        <v>3776</v>
      </c>
      <c r="J15" s="19">
        <v>11517</v>
      </c>
    </row>
    <row r="16" spans="2:10" x14ac:dyDescent="0.3">
      <c r="C16" s="4">
        <v>969</v>
      </c>
      <c r="D16" s="11">
        <v>1918</v>
      </c>
      <c r="E16" s="4">
        <v>4625</v>
      </c>
      <c r="F16" s="19">
        <v>9263</v>
      </c>
      <c r="G16" s="4">
        <v>6737</v>
      </c>
      <c r="H16" s="19">
        <v>13118</v>
      </c>
      <c r="I16" s="4">
        <v>3697</v>
      </c>
      <c r="J16" s="19">
        <v>11794</v>
      </c>
    </row>
    <row r="17" spans="3:18" x14ac:dyDescent="0.3">
      <c r="C17" s="4">
        <v>969</v>
      </c>
      <c r="D17" s="11">
        <v>1836</v>
      </c>
      <c r="E17" s="4">
        <v>4853</v>
      </c>
      <c r="F17" s="19">
        <v>9338</v>
      </c>
      <c r="G17" s="4">
        <v>6693</v>
      </c>
      <c r="H17" s="19">
        <v>13051</v>
      </c>
      <c r="I17" s="4">
        <v>3839</v>
      </c>
      <c r="J17" s="19">
        <v>11021</v>
      </c>
    </row>
    <row r="18" spans="3:18" x14ac:dyDescent="0.3">
      <c r="C18" s="4">
        <v>962</v>
      </c>
      <c r="D18" s="11">
        <v>1957</v>
      </c>
      <c r="E18" s="4">
        <v>4645</v>
      </c>
      <c r="F18" s="19">
        <v>9738</v>
      </c>
      <c r="G18" s="4">
        <v>6364</v>
      </c>
      <c r="H18" s="19">
        <v>13275</v>
      </c>
      <c r="I18" s="4">
        <v>3905</v>
      </c>
      <c r="J18" s="19">
        <v>11307</v>
      </c>
    </row>
    <row r="19" spans="3:18" x14ac:dyDescent="0.3">
      <c r="C19" s="4">
        <v>923</v>
      </c>
      <c r="D19" s="11">
        <v>1917</v>
      </c>
      <c r="E19" s="4">
        <v>4546</v>
      </c>
      <c r="F19" s="19">
        <v>9559</v>
      </c>
      <c r="G19" s="4">
        <v>6437</v>
      </c>
      <c r="H19" s="19">
        <v>12824</v>
      </c>
      <c r="I19" s="4">
        <v>3714</v>
      </c>
      <c r="J19" s="19">
        <v>11550</v>
      </c>
    </row>
    <row r="20" spans="3:18" x14ac:dyDescent="0.3">
      <c r="C20" s="4">
        <v>921</v>
      </c>
      <c r="D20" s="11">
        <v>1930</v>
      </c>
      <c r="E20" s="4">
        <v>4509</v>
      </c>
      <c r="F20" s="19">
        <v>9338</v>
      </c>
      <c r="G20" s="4">
        <v>6306</v>
      </c>
      <c r="H20" s="19">
        <v>13429</v>
      </c>
      <c r="I20" s="4">
        <v>3789</v>
      </c>
      <c r="J20" s="19">
        <v>11558</v>
      </c>
    </row>
    <row r="21" spans="3:18" x14ac:dyDescent="0.3">
      <c r="C21" s="4">
        <v>986</v>
      </c>
      <c r="D21" s="11">
        <v>1913</v>
      </c>
      <c r="E21" s="4">
        <v>4788</v>
      </c>
      <c r="F21" s="19">
        <v>9300</v>
      </c>
      <c r="G21" s="4">
        <v>6408</v>
      </c>
      <c r="H21" s="19">
        <v>13100</v>
      </c>
      <c r="I21" s="4">
        <v>3705</v>
      </c>
      <c r="J21" s="19">
        <v>10839</v>
      </c>
    </row>
    <row r="22" spans="3:18" x14ac:dyDescent="0.3">
      <c r="C22" s="4">
        <v>938</v>
      </c>
      <c r="D22" s="11">
        <v>1928</v>
      </c>
      <c r="E22" s="4">
        <v>4460</v>
      </c>
      <c r="F22" s="19">
        <v>9265</v>
      </c>
      <c r="G22" s="4">
        <v>6560</v>
      </c>
      <c r="H22" s="19">
        <v>13334</v>
      </c>
      <c r="I22" s="4">
        <v>3685</v>
      </c>
      <c r="J22" s="19">
        <v>11628</v>
      </c>
    </row>
    <row r="23" spans="3:18" x14ac:dyDescent="0.3">
      <c r="C23" s="4">
        <v>966</v>
      </c>
      <c r="D23" s="11">
        <v>1889</v>
      </c>
      <c r="E23" s="4">
        <v>4652</v>
      </c>
      <c r="F23" s="19">
        <v>9141</v>
      </c>
      <c r="G23" s="4">
        <v>6490</v>
      </c>
      <c r="H23" s="19">
        <v>13009</v>
      </c>
      <c r="I23" s="4">
        <v>3700</v>
      </c>
      <c r="J23" s="19">
        <v>11192</v>
      </c>
    </row>
    <row r="24" spans="3:18" x14ac:dyDescent="0.3">
      <c r="C24" s="5">
        <v>994</v>
      </c>
      <c r="D24" s="12">
        <v>1874</v>
      </c>
      <c r="E24" s="5">
        <v>4672</v>
      </c>
      <c r="F24" s="20">
        <v>9163</v>
      </c>
      <c r="G24" s="5">
        <v>6436</v>
      </c>
      <c r="H24" s="20">
        <v>13027</v>
      </c>
      <c r="I24" s="5">
        <v>3781</v>
      </c>
      <c r="J24" s="20">
        <v>11612</v>
      </c>
    </row>
    <row r="25" spans="3:18" x14ac:dyDescent="0.3">
      <c r="C25" s="6">
        <f t="shared" ref="C25:J25" si="0">AVERAGE(C7:C24)</f>
        <v>957.55555555555554</v>
      </c>
      <c r="D25" s="13">
        <f t="shared" si="0"/>
        <v>1913.5555555555557</v>
      </c>
      <c r="E25" s="6">
        <f t="shared" si="0"/>
        <v>4640.2777777777774</v>
      </c>
      <c r="F25" s="13">
        <f t="shared" si="0"/>
        <v>9323.7777777777774</v>
      </c>
      <c r="G25" s="6">
        <f t="shared" si="0"/>
        <v>6501</v>
      </c>
      <c r="H25" s="13">
        <f t="shared" si="0"/>
        <v>13034.888888888889</v>
      </c>
      <c r="I25" s="6">
        <f t="shared" si="0"/>
        <v>3742.8888888888887</v>
      </c>
      <c r="J25" s="13">
        <f t="shared" si="0"/>
        <v>11454.055555555555</v>
      </c>
    </row>
    <row r="26" spans="3:18" x14ac:dyDescent="0.3">
      <c r="C26" s="15"/>
      <c r="D26" s="24" t="s">
        <v>17</v>
      </c>
      <c r="E26" s="6">
        <f t="shared" ref="E26:J26" si="1">E25/1.092</f>
        <v>4249.338624338624</v>
      </c>
      <c r="F26" s="25">
        <f t="shared" si="1"/>
        <v>8538.2580382580381</v>
      </c>
      <c r="G26" s="6">
        <f t="shared" si="1"/>
        <v>5953.2967032967026</v>
      </c>
      <c r="H26" s="25">
        <f t="shared" si="1"/>
        <v>11936.711436711435</v>
      </c>
      <c r="I26" s="6">
        <f t="shared" si="1"/>
        <v>3427.5539275539272</v>
      </c>
      <c r="J26" s="25">
        <f t="shared" si="1"/>
        <v>10489.061864061863</v>
      </c>
    </row>
    <row r="27" spans="3:18" x14ac:dyDescent="0.3">
      <c r="D27" s="23">
        <f>D25/C25</f>
        <v>1.9983754931538642</v>
      </c>
      <c r="E27" s="23"/>
      <c r="F27" s="23">
        <f>F25/E25</f>
        <v>2.0093145764741096</v>
      </c>
      <c r="G27" s="23"/>
      <c r="H27" s="23">
        <f>H25/G25</f>
        <v>2.0050590507443298</v>
      </c>
      <c r="I27" s="23"/>
      <c r="J27" s="23">
        <f>J25/I25</f>
        <v>3.0602178946743455</v>
      </c>
    </row>
    <row r="28" spans="3:18" x14ac:dyDescent="0.3">
      <c r="G28" s="1" t="s">
        <v>18</v>
      </c>
      <c r="H28" s="66" t="s">
        <v>19</v>
      </c>
      <c r="I28" s="66"/>
      <c r="J28" s="66"/>
      <c r="K28" s="66" t="s">
        <v>65</v>
      </c>
      <c r="L28" s="66"/>
      <c r="M28" s="66"/>
      <c r="N28" s="66"/>
      <c r="O28" s="66"/>
      <c r="P28" s="66"/>
      <c r="Q28" s="66"/>
      <c r="R28" s="14"/>
    </row>
    <row r="29" spans="3:18" x14ac:dyDescent="0.3">
      <c r="H29" s="66" t="s">
        <v>27</v>
      </c>
      <c r="I29" s="66"/>
      <c r="J29" s="66"/>
      <c r="K29" s="66" t="s">
        <v>66</v>
      </c>
      <c r="L29" s="66"/>
      <c r="M29" s="66"/>
      <c r="N29" s="66"/>
      <c r="O29" s="66"/>
      <c r="P29" s="66"/>
      <c r="Q29" s="66"/>
    </row>
    <row r="31" spans="3:18" x14ac:dyDescent="0.3">
      <c r="C31" s="59" t="s">
        <v>4</v>
      </c>
      <c r="D31" s="59"/>
      <c r="E31" s="69" t="s">
        <v>20</v>
      </c>
      <c r="F31" s="70"/>
      <c r="G31" s="70"/>
      <c r="H31" s="70"/>
      <c r="I31" s="70"/>
      <c r="J31" s="71"/>
    </row>
    <row r="32" spans="3:18" x14ac:dyDescent="0.3">
      <c r="C32" s="60" t="s">
        <v>5</v>
      </c>
      <c r="D32" s="62" t="s">
        <v>6</v>
      </c>
      <c r="E32" s="64" t="s">
        <v>8</v>
      </c>
      <c r="F32" s="65"/>
      <c r="G32" s="64" t="s">
        <v>11</v>
      </c>
      <c r="H32" s="65"/>
      <c r="I32" s="67" t="s">
        <v>12</v>
      </c>
      <c r="J32" s="68"/>
    </row>
    <row r="33" spans="2:10" x14ac:dyDescent="0.3">
      <c r="C33" s="61"/>
      <c r="D33" s="63"/>
      <c r="E33" s="16" t="s">
        <v>9</v>
      </c>
      <c r="F33" s="17" t="s">
        <v>10</v>
      </c>
      <c r="G33" s="22" t="s">
        <v>13</v>
      </c>
      <c r="H33" s="21" t="s">
        <v>14</v>
      </c>
      <c r="I33" s="9" t="s">
        <v>15</v>
      </c>
      <c r="J33" s="21" t="s">
        <v>16</v>
      </c>
    </row>
    <row r="34" spans="2:10" x14ac:dyDescent="0.3">
      <c r="B34" s="1" t="s">
        <v>22</v>
      </c>
      <c r="C34" s="3">
        <v>456</v>
      </c>
      <c r="D34" s="10"/>
      <c r="E34" s="3"/>
      <c r="F34" s="18"/>
      <c r="G34" s="4">
        <v>4655</v>
      </c>
      <c r="H34" s="18"/>
      <c r="I34" s="4">
        <v>3331</v>
      </c>
      <c r="J34" s="19"/>
    </row>
    <row r="35" spans="2:10" x14ac:dyDescent="0.3">
      <c r="B35" s="1" t="s">
        <v>23</v>
      </c>
      <c r="C35" s="4">
        <v>477</v>
      </c>
      <c r="D35" s="11"/>
      <c r="E35" s="4"/>
      <c r="F35" s="19"/>
      <c r="G35" s="4">
        <v>4715</v>
      </c>
      <c r="H35" s="19"/>
      <c r="I35" s="4">
        <v>3187</v>
      </c>
      <c r="J35" s="19"/>
    </row>
    <row r="36" spans="2:10" x14ac:dyDescent="0.3">
      <c r="B36" s="1" t="s">
        <v>24</v>
      </c>
      <c r="C36" s="4">
        <v>470</v>
      </c>
      <c r="D36" s="11"/>
      <c r="E36" s="4"/>
      <c r="F36" s="19"/>
      <c r="G36" s="4">
        <v>4468</v>
      </c>
      <c r="H36" s="19"/>
      <c r="I36" s="4">
        <v>3259</v>
      </c>
      <c r="J36" s="19"/>
    </row>
    <row r="37" spans="2:10" x14ac:dyDescent="0.3">
      <c r="B37" s="1" t="s">
        <v>25</v>
      </c>
      <c r="C37" s="4">
        <v>460</v>
      </c>
      <c r="D37" s="11"/>
      <c r="E37" s="4"/>
      <c r="F37" s="19"/>
      <c r="G37" s="4">
        <v>4685</v>
      </c>
      <c r="H37" s="19"/>
      <c r="I37" s="4">
        <v>3113</v>
      </c>
      <c r="J37" s="19"/>
    </row>
    <row r="38" spans="2:10" x14ac:dyDescent="0.3">
      <c r="C38" s="4">
        <v>475</v>
      </c>
      <c r="D38" s="11"/>
      <c r="E38" s="4"/>
      <c r="F38" s="19"/>
      <c r="G38" s="4">
        <v>4625</v>
      </c>
      <c r="H38" s="19"/>
      <c r="I38" s="4">
        <v>3259</v>
      </c>
      <c r="J38" s="19"/>
    </row>
    <row r="39" spans="2:10" x14ac:dyDescent="0.3">
      <c r="C39" s="4">
        <v>489</v>
      </c>
      <c r="D39" s="11"/>
      <c r="E39" s="4"/>
      <c r="F39" s="19"/>
      <c r="G39" s="4">
        <v>4393</v>
      </c>
      <c r="H39" s="19"/>
      <c r="I39" s="4">
        <v>3207</v>
      </c>
      <c r="J39" s="19"/>
    </row>
    <row r="40" spans="2:10" x14ac:dyDescent="0.3">
      <c r="C40" s="4">
        <v>495</v>
      </c>
      <c r="D40" s="11"/>
      <c r="E40" s="4"/>
      <c r="F40" s="19"/>
      <c r="G40" s="4">
        <v>4698</v>
      </c>
      <c r="H40" s="19"/>
      <c r="I40" s="4">
        <v>3155</v>
      </c>
      <c r="J40" s="19"/>
    </row>
    <row r="41" spans="2:10" x14ac:dyDescent="0.3">
      <c r="C41" s="4">
        <v>473</v>
      </c>
      <c r="D41" s="11"/>
      <c r="E41" s="4"/>
      <c r="F41" s="19"/>
      <c r="G41" s="4">
        <v>4606</v>
      </c>
      <c r="H41" s="19"/>
      <c r="I41" s="4">
        <v>3381</v>
      </c>
      <c r="J41" s="19"/>
    </row>
    <row r="42" spans="2:10" x14ac:dyDescent="0.3">
      <c r="C42" s="4">
        <v>465</v>
      </c>
      <c r="D42" s="11"/>
      <c r="E42" s="4"/>
      <c r="F42" s="19"/>
      <c r="G42" s="4">
        <v>4514</v>
      </c>
      <c r="H42" s="19"/>
      <c r="I42" s="4">
        <v>3202</v>
      </c>
      <c r="J42" s="19"/>
    </row>
    <row r="43" spans="2:10" x14ac:dyDescent="0.3">
      <c r="C43" s="4">
        <v>458</v>
      </c>
      <c r="D43" s="11"/>
      <c r="E43" s="4"/>
      <c r="F43" s="19"/>
      <c r="G43" s="4">
        <v>4574</v>
      </c>
      <c r="H43" s="19"/>
      <c r="I43" s="4">
        <v>3361</v>
      </c>
      <c r="J43" s="19"/>
    </row>
    <row r="44" spans="2:10" x14ac:dyDescent="0.3">
      <c r="C44" s="4">
        <v>471</v>
      </c>
      <c r="D44" s="11"/>
      <c r="E44" s="4"/>
      <c r="F44" s="19"/>
      <c r="G44" s="4">
        <v>4725</v>
      </c>
      <c r="H44" s="19"/>
      <c r="I44" s="4">
        <v>3264</v>
      </c>
      <c r="J44" s="19"/>
    </row>
    <row r="45" spans="2:10" x14ac:dyDescent="0.3">
      <c r="C45" s="4">
        <v>477</v>
      </c>
      <c r="D45" s="11"/>
      <c r="E45" s="4"/>
      <c r="F45" s="19"/>
      <c r="G45" s="4">
        <v>4486</v>
      </c>
      <c r="H45" s="19"/>
      <c r="I45" s="4">
        <v>3283</v>
      </c>
      <c r="J45" s="19"/>
    </row>
    <row r="46" spans="2:10" x14ac:dyDescent="0.3">
      <c r="C46" s="4">
        <v>483</v>
      </c>
      <c r="D46" s="11"/>
      <c r="E46" s="4"/>
      <c r="F46" s="19"/>
      <c r="G46" s="4">
        <v>4514</v>
      </c>
      <c r="H46" s="19"/>
      <c r="I46" s="4">
        <v>3240</v>
      </c>
      <c r="J46" s="19"/>
    </row>
    <row r="47" spans="2:10" x14ac:dyDescent="0.3">
      <c r="C47" s="4">
        <v>467</v>
      </c>
      <c r="D47" s="11"/>
      <c r="E47" s="4"/>
      <c r="F47" s="19"/>
      <c r="G47" s="4">
        <v>4455</v>
      </c>
      <c r="H47" s="19"/>
      <c r="I47" s="4">
        <v>3302</v>
      </c>
      <c r="J47" s="19"/>
    </row>
    <row r="48" spans="2:10" x14ac:dyDescent="0.3">
      <c r="C48" s="4">
        <v>458</v>
      </c>
      <c r="D48" s="11"/>
      <c r="E48" s="4"/>
      <c r="F48" s="19"/>
      <c r="G48" s="4">
        <v>4491</v>
      </c>
      <c r="H48" s="19"/>
      <c r="I48" s="4">
        <v>3274</v>
      </c>
      <c r="J48" s="19"/>
    </row>
    <row r="49" spans="2:15" x14ac:dyDescent="0.3">
      <c r="C49" s="4">
        <v>451</v>
      </c>
      <c r="D49" s="11"/>
      <c r="E49" s="4"/>
      <c r="F49" s="19"/>
      <c r="G49" s="4">
        <v>4509</v>
      </c>
      <c r="H49" s="19"/>
      <c r="I49" s="4">
        <v>3261</v>
      </c>
      <c r="J49" s="19"/>
    </row>
    <row r="50" spans="2:15" x14ac:dyDescent="0.3">
      <c r="C50" s="4">
        <v>480</v>
      </c>
      <c r="D50" s="11"/>
      <c r="E50" s="4"/>
      <c r="F50" s="19"/>
      <c r="G50" s="4">
        <v>4554</v>
      </c>
      <c r="H50" s="19"/>
      <c r="I50" s="4">
        <v>3364</v>
      </c>
      <c r="J50" s="19"/>
    </row>
    <row r="51" spans="2:15" x14ac:dyDescent="0.3">
      <c r="C51" s="5">
        <v>455</v>
      </c>
      <c r="D51" s="12"/>
      <c r="E51" s="5"/>
      <c r="F51" s="20"/>
      <c r="G51" s="5">
        <v>4656</v>
      </c>
      <c r="H51" s="20"/>
      <c r="I51" s="5">
        <v>3210</v>
      </c>
      <c r="J51" s="20"/>
    </row>
    <row r="52" spans="2:15" x14ac:dyDescent="0.3">
      <c r="C52" s="6">
        <f t="shared" ref="C52:J52" si="2">AVERAGE(C34:C51)</f>
        <v>470</v>
      </c>
      <c r="D52" s="13" t="e">
        <f t="shared" si="2"/>
        <v>#DIV/0!</v>
      </c>
      <c r="E52" s="6" t="e">
        <f t="shared" si="2"/>
        <v>#DIV/0!</v>
      </c>
      <c r="F52" s="13" t="e">
        <f t="shared" si="2"/>
        <v>#DIV/0!</v>
      </c>
      <c r="G52" s="6">
        <f t="shared" si="2"/>
        <v>4573.5</v>
      </c>
      <c r="H52" s="13" t="e">
        <f t="shared" si="2"/>
        <v>#DIV/0!</v>
      </c>
      <c r="I52" s="6">
        <f t="shared" si="2"/>
        <v>3258.5</v>
      </c>
      <c r="J52" s="13" t="e">
        <f t="shared" si="2"/>
        <v>#DIV/0!</v>
      </c>
    </row>
    <row r="53" spans="2:15" x14ac:dyDescent="0.3">
      <c r="C53" s="15"/>
      <c r="D53" s="24" t="s">
        <v>17</v>
      </c>
      <c r="E53" s="6" t="e">
        <f t="shared" ref="E53:J53" si="3">E52/1.092</f>
        <v>#DIV/0!</v>
      </c>
      <c r="F53" s="25" t="e">
        <f t="shared" si="3"/>
        <v>#DIV/0!</v>
      </c>
      <c r="G53" s="6">
        <f t="shared" si="3"/>
        <v>4188.1868131868132</v>
      </c>
      <c r="H53" s="25" t="e">
        <f t="shared" si="3"/>
        <v>#DIV/0!</v>
      </c>
      <c r="I53" s="6">
        <f t="shared" si="3"/>
        <v>2983.9743589743589</v>
      </c>
      <c r="J53" s="25" t="e">
        <f t="shared" si="3"/>
        <v>#DIV/0!</v>
      </c>
    </row>
    <row r="54" spans="2:15" x14ac:dyDescent="0.3">
      <c r="D54" s="23" t="e">
        <f>D52/C52</f>
        <v>#DIV/0!</v>
      </c>
      <c r="E54" s="23"/>
      <c r="F54" s="23" t="e">
        <f>F52/E52</f>
        <v>#DIV/0!</v>
      </c>
      <c r="G54" s="23"/>
      <c r="H54" s="23" t="e">
        <f>H52/G52</f>
        <v>#DIV/0!</v>
      </c>
      <c r="I54" s="23"/>
      <c r="J54" s="23" t="e">
        <f>J52/I52</f>
        <v>#DIV/0!</v>
      </c>
    </row>
    <row r="55" spans="2:15" s="26" customFormat="1" ht="85.5" customHeight="1" x14ac:dyDescent="0.3">
      <c r="B55" s="45"/>
      <c r="D55" s="73" t="s">
        <v>64</v>
      </c>
      <c r="E55" s="73"/>
      <c r="F55" s="73"/>
      <c r="G55" s="73"/>
      <c r="H55" s="73"/>
      <c r="I55" s="72" t="s">
        <v>67</v>
      </c>
      <c r="J55" s="72"/>
      <c r="K55" s="72"/>
    </row>
    <row r="56" spans="2:15" ht="78" customHeight="1" x14ac:dyDescent="0.3">
      <c r="B56" s="74" t="s">
        <v>33</v>
      </c>
      <c r="C56" s="74"/>
      <c r="D56" s="74"/>
      <c r="E56" s="74"/>
      <c r="F56" s="74"/>
      <c r="G56" s="74"/>
      <c r="H56" s="74"/>
      <c r="I56" s="74"/>
      <c r="J56" s="45"/>
      <c r="K56" s="45"/>
      <c r="L56" s="72" t="s">
        <v>32</v>
      </c>
      <c r="M56" s="72"/>
      <c r="N56" s="72"/>
      <c r="O56" s="72"/>
    </row>
    <row r="57" spans="2:15" x14ac:dyDescent="0.3">
      <c r="B57" s="59" t="s">
        <v>36</v>
      </c>
      <c r="C57" s="59"/>
      <c r="D57" s="59"/>
      <c r="E57" s="42"/>
      <c r="F57" s="59" t="s">
        <v>39</v>
      </c>
      <c r="G57" s="59"/>
      <c r="H57" s="59"/>
      <c r="I57" s="59"/>
      <c r="K57" s="59" t="s">
        <v>43</v>
      </c>
      <c r="L57" s="59"/>
      <c r="M57" s="59"/>
      <c r="N57" s="59"/>
    </row>
    <row r="58" spans="2:15" x14ac:dyDescent="0.3">
      <c r="B58" s="59"/>
      <c r="C58" s="59"/>
      <c r="D58" s="59"/>
      <c r="F58" s="59"/>
      <c r="G58" s="59"/>
      <c r="H58" s="59"/>
      <c r="I58" s="59"/>
      <c r="K58" s="59"/>
      <c r="L58" s="59"/>
      <c r="M58" s="59"/>
      <c r="N58" s="59"/>
    </row>
    <row r="59" spans="2:15" ht="33" customHeight="1" x14ac:dyDescent="0.3">
      <c r="B59" s="8" t="s">
        <v>31</v>
      </c>
      <c r="C59" s="29" t="s">
        <v>11</v>
      </c>
      <c r="D59" s="29" t="s">
        <v>26</v>
      </c>
      <c r="F59" s="8" t="s">
        <v>31</v>
      </c>
      <c r="G59" s="29" t="s">
        <v>40</v>
      </c>
      <c r="H59" s="29" t="s">
        <v>41</v>
      </c>
      <c r="I59" s="29" t="s">
        <v>42</v>
      </c>
      <c r="K59" s="8" t="s">
        <v>44</v>
      </c>
      <c r="L59" s="29" t="s">
        <v>40</v>
      </c>
      <c r="M59" s="29" t="s">
        <v>41</v>
      </c>
      <c r="N59" s="29" t="s">
        <v>42</v>
      </c>
    </row>
    <row r="60" spans="2:15" x14ac:dyDescent="0.3">
      <c r="B60" s="38">
        <v>10</v>
      </c>
      <c r="C60" s="39">
        <f>C25*2*(B60+15)/100+C25*(85-B60)/100+G26*2*(15+B60)*1.5/100+G26*(85-B60)*1.5/100</f>
        <v>12359.375763125761</v>
      </c>
      <c r="D60" s="39">
        <f>C25*3*(B60+15)/100+C25*(85-B60)/100+G26/1.4*3*(15+B60)*1.5/100+G26/1.4*(85-B60)*1.5/100</f>
        <v>11004.131606488751</v>
      </c>
      <c r="F60" s="38">
        <v>10</v>
      </c>
      <c r="G60" s="39">
        <f>3227.8*2*(20+F60)/100+3227.8*(80-F60)/100+4252.4*2.8*(20+F60)/100+4252.4*(80-F60)/100</f>
        <v>10744.835999999999</v>
      </c>
      <c r="H60" s="39">
        <f>3227.8*2*(20+F60)/100+3227.8*(80-F60)/100+4252.4*2*(20+F60)/100+4252.4*(80-F60)/100</f>
        <v>9724.26</v>
      </c>
      <c r="I60" s="39">
        <f>H60*1.25</f>
        <v>12155.325000000001</v>
      </c>
      <c r="K60" s="38">
        <v>10</v>
      </c>
      <c r="L60" s="39">
        <f>1613.9*2*(20+K60)/100+1613.9*(80-K60)/100+4252.4*2.8*(20+K60)*2/100+4252.4*(80-K60)*2/100</f>
        <v>15195.462</v>
      </c>
      <c r="M60" s="39">
        <f>1613.9*2*(20+K60)/100+1613.9*(80-K60)/100+4252.4*2*(20+K60)*2/100+4252.4*(80-K60)*2/100</f>
        <v>13154.309999999998</v>
      </c>
      <c r="N60" s="39">
        <f>M60*1.25</f>
        <v>16442.887499999997</v>
      </c>
    </row>
    <row r="61" spans="2:15" x14ac:dyDescent="0.3">
      <c r="B61" s="38">
        <v>40</v>
      </c>
      <c r="C61" s="39">
        <f>C25*2*(B61+15)/100+C25*(85-B61)/100+G26*2*(15+B61)*1.5/100+G26*(85-B61)*1.5/100</f>
        <v>15325.625946275946</v>
      </c>
      <c r="D61" s="39">
        <f>C25*3*(B61+15)/100+C25*(85-B61)/100+G26/1.4*3*(15+B61)*1.5/100+G26/1.4*(85-B61)*1.5/100</f>
        <v>15405.784249084249</v>
      </c>
      <c r="F61" s="38">
        <v>40</v>
      </c>
      <c r="G61" s="39">
        <f>3227.8*2*(20+F61)/100+3227.8*(80-F61)/100+4252.4*2.8*(20+F61)/100+4252.4*(80-F61)/100</f>
        <v>14009.471999999998</v>
      </c>
      <c r="H61" s="39">
        <f>3227.8*2*(20+F61)/100+3227.8*(80-F61)/100+4252.4*2*(20+F61)/100+4252.4*(80-F61)/100</f>
        <v>11968.32</v>
      </c>
      <c r="I61" s="39">
        <f>H61*1.25</f>
        <v>14960.4</v>
      </c>
      <c r="K61" s="38">
        <v>40</v>
      </c>
      <c r="L61" s="39">
        <f>1613.9*2*(20+K61)/100+1613.9*(80-K61)/100+4252.4*2.8*(20+K61)*2/100+4252.4*(80-K61)*2/100</f>
        <v>20272.223999999995</v>
      </c>
      <c r="M61" s="39">
        <f>1613.9*2*(20+K61)/100+1613.9*(80-K61)/100+4252.4*2*(20+K61)*2/100+4252.4*(80-K61)*2/100</f>
        <v>16189.919999999998</v>
      </c>
      <c r="N61" s="39">
        <f>M61*1.25</f>
        <v>20237.399999999998</v>
      </c>
    </row>
    <row r="62" spans="2:15" x14ac:dyDescent="0.3">
      <c r="B62" s="38">
        <v>70</v>
      </c>
      <c r="C62" s="39">
        <f>C25*2*(B62+15)/100+C25*(85-B62)/100+G26*2*(15+B62)*1.5/100+G26*(85-B62)*1.5/100</f>
        <v>18291.876129426128</v>
      </c>
      <c r="D62" s="39">
        <f>C25*3*(B62+15)/100+C25*(85-B62)/100+G26/1.4*3*(15+B62)*1.5/100+G26/1.4*(85-B62)*1.5/100</f>
        <v>19807.43689167975</v>
      </c>
      <c r="F62" s="38">
        <v>70</v>
      </c>
      <c r="G62" s="39">
        <f>3227.8*2*(20+F62)/100+3227.8*(80-F62)/100+4252.4*2.8*(20+F62)/100+4252.4*(80-F62)/100</f>
        <v>17274.108</v>
      </c>
      <c r="H62" s="39">
        <f>3227.8*2*(20+F62)/100+3227.8*(80-F62)/100+4252.4*2*(20+F62)/100+4252.4*(80-F62)/100</f>
        <v>14212.38</v>
      </c>
      <c r="I62" s="39">
        <f>H62*1.25</f>
        <v>17765.474999999999</v>
      </c>
      <c r="K62" s="38">
        <v>70</v>
      </c>
      <c r="L62" s="39">
        <f>1613.9*2*(20+K62)/100+1613.9*(80-K62)/100+4252.4*2.8*(20+K62)*2/100+4252.4*(80-K62)*2/100</f>
        <v>25348.985999999997</v>
      </c>
      <c r="M62" s="39">
        <f>1613.9*2*(20+K62)/100+1613.9*(80-K62)/100+4252.4*2*(20+K62)*2/100+4252.4*(80-K62)*2/100</f>
        <v>19225.529999999995</v>
      </c>
      <c r="N62" s="39">
        <f>M62*1.25</f>
        <v>24031.912499999995</v>
      </c>
    </row>
    <row r="63" spans="2:15" x14ac:dyDescent="0.3">
      <c r="B63" s="27"/>
      <c r="C63" s="41"/>
      <c r="D63" s="28"/>
      <c r="F63" s="29"/>
      <c r="G63" s="40"/>
      <c r="H63" s="29"/>
      <c r="I63" s="29"/>
      <c r="K63" s="29"/>
      <c r="L63" s="40"/>
      <c r="M63" s="29"/>
      <c r="N63" s="29"/>
    </row>
    <row r="68" spans="1:21" x14ac:dyDescent="0.3">
      <c r="B68" s="59" t="s">
        <v>34</v>
      </c>
      <c r="C68" s="59"/>
      <c r="D68" s="59"/>
      <c r="E68" s="59"/>
      <c r="G68" s="59" t="s">
        <v>38</v>
      </c>
      <c r="H68" s="59"/>
      <c r="I68" s="59"/>
      <c r="J68" s="59"/>
      <c r="N68" s="66" t="s">
        <v>35</v>
      </c>
      <c r="O68" s="66"/>
    </row>
    <row r="69" spans="1:21" x14ac:dyDescent="0.3">
      <c r="A69" s="1" t="s">
        <v>46</v>
      </c>
      <c r="B69" s="36" t="s">
        <v>28</v>
      </c>
      <c r="C69" s="37" t="s">
        <v>37</v>
      </c>
      <c r="D69" s="37" t="s">
        <v>29</v>
      </c>
      <c r="E69" s="21" t="s">
        <v>30</v>
      </c>
      <c r="F69" s="1" t="s">
        <v>47</v>
      </c>
      <c r="G69" s="36" t="s">
        <v>28</v>
      </c>
      <c r="H69" s="37" t="s">
        <v>37</v>
      </c>
      <c r="I69" s="37" t="s">
        <v>29</v>
      </c>
      <c r="J69" s="21" t="s">
        <v>30</v>
      </c>
    </row>
    <row r="70" spans="1:21" x14ac:dyDescent="0.3">
      <c r="B70" s="32">
        <v>4637</v>
      </c>
      <c r="C70" s="33">
        <v>12939</v>
      </c>
      <c r="D70" s="33">
        <v>4538</v>
      </c>
      <c r="E70" s="19" t="s">
        <v>68</v>
      </c>
      <c r="G70" s="32">
        <v>9012</v>
      </c>
      <c r="H70" s="33"/>
      <c r="I70" s="33"/>
      <c r="J70" s="19">
        <v>11434</v>
      </c>
      <c r="N70" s="30">
        <v>211</v>
      </c>
      <c r="O70" s="31">
        <v>338</v>
      </c>
      <c r="P70" s="31">
        <v>657</v>
      </c>
      <c r="Q70" s="31">
        <v>328</v>
      </c>
      <c r="R70" s="31">
        <v>267</v>
      </c>
      <c r="S70" s="31">
        <v>676</v>
      </c>
      <c r="T70" s="31">
        <v>635</v>
      </c>
      <c r="U70" s="18">
        <v>576</v>
      </c>
    </row>
    <row r="71" spans="1:21" x14ac:dyDescent="0.3">
      <c r="B71" s="32">
        <v>4661</v>
      </c>
      <c r="C71" s="33">
        <v>13287</v>
      </c>
      <c r="D71" s="33">
        <v>4639</v>
      </c>
      <c r="E71" s="19">
        <v>6046</v>
      </c>
      <c r="G71" s="32">
        <v>9496</v>
      </c>
      <c r="H71" s="33"/>
      <c r="I71" s="33"/>
      <c r="J71" s="19">
        <v>11196</v>
      </c>
      <c r="N71" s="32">
        <v>567</v>
      </c>
      <c r="O71" s="33">
        <v>460</v>
      </c>
      <c r="P71" s="33">
        <v>147</v>
      </c>
      <c r="Q71" s="33">
        <v>496</v>
      </c>
      <c r="R71" s="33">
        <v>517</v>
      </c>
      <c r="S71" s="33">
        <v>92</v>
      </c>
      <c r="T71" s="33">
        <v>414</v>
      </c>
      <c r="U71" s="19">
        <v>222</v>
      </c>
    </row>
    <row r="72" spans="1:21" x14ac:dyDescent="0.3">
      <c r="B72" s="32">
        <v>4684</v>
      </c>
      <c r="C72" s="33">
        <v>13528</v>
      </c>
      <c r="D72" s="33">
        <v>4747</v>
      </c>
      <c r="E72" s="19">
        <v>5914</v>
      </c>
      <c r="G72" s="32">
        <v>9671</v>
      </c>
      <c r="H72" s="33"/>
      <c r="I72" s="33"/>
      <c r="J72" s="19">
        <v>11539</v>
      </c>
      <c r="N72" s="32">
        <v>388</v>
      </c>
      <c r="O72" s="33">
        <v>401</v>
      </c>
      <c r="P72" s="33">
        <v>405</v>
      </c>
      <c r="Q72" s="33">
        <v>414</v>
      </c>
      <c r="R72" s="33">
        <v>391</v>
      </c>
      <c r="S72" s="33">
        <v>385</v>
      </c>
      <c r="T72" s="33">
        <v>416</v>
      </c>
      <c r="U72" s="19">
        <v>402</v>
      </c>
    </row>
    <row r="73" spans="1:21" x14ac:dyDescent="0.3">
      <c r="B73" s="32">
        <v>4676</v>
      </c>
      <c r="C73" s="33">
        <v>13604</v>
      </c>
      <c r="D73" s="33">
        <v>4561</v>
      </c>
      <c r="E73" s="19">
        <v>5609</v>
      </c>
      <c r="G73" s="32">
        <v>9365</v>
      </c>
      <c r="H73" s="33"/>
      <c r="I73" s="33"/>
      <c r="J73" s="19">
        <v>11757</v>
      </c>
      <c r="N73" s="32">
        <v>388</v>
      </c>
      <c r="O73" s="33">
        <v>399</v>
      </c>
      <c r="P73" s="33">
        <v>402</v>
      </c>
      <c r="Q73" s="33">
        <v>412</v>
      </c>
      <c r="R73" s="33">
        <v>391</v>
      </c>
      <c r="S73" s="33">
        <v>331</v>
      </c>
      <c r="T73" s="33">
        <v>193</v>
      </c>
      <c r="U73" s="19">
        <v>399</v>
      </c>
    </row>
    <row r="74" spans="1:21" x14ac:dyDescent="0.3">
      <c r="B74" s="32">
        <v>4703</v>
      </c>
      <c r="C74" s="33">
        <v>12737</v>
      </c>
      <c r="D74" s="33">
        <v>4696</v>
      </c>
      <c r="E74" s="19">
        <v>5985</v>
      </c>
      <c r="G74" s="32">
        <v>9523</v>
      </c>
      <c r="H74" s="33"/>
      <c r="I74" s="33"/>
      <c r="J74" s="19">
        <v>11510</v>
      </c>
      <c r="N74" s="32">
        <v>692</v>
      </c>
      <c r="O74" s="33">
        <v>396</v>
      </c>
      <c r="P74" s="33">
        <v>201</v>
      </c>
      <c r="Q74" s="33">
        <v>315</v>
      </c>
      <c r="R74" s="33">
        <v>107</v>
      </c>
      <c r="S74" s="33">
        <v>491</v>
      </c>
      <c r="T74" s="33">
        <v>620</v>
      </c>
      <c r="U74" s="19">
        <v>538</v>
      </c>
    </row>
    <row r="75" spans="1:21" x14ac:dyDescent="0.3">
      <c r="B75" s="32">
        <v>4755</v>
      </c>
      <c r="C75" s="33">
        <v>12892</v>
      </c>
      <c r="D75" s="33">
        <v>4647</v>
      </c>
      <c r="E75" s="19">
        <v>5627</v>
      </c>
      <c r="G75" s="32">
        <v>9501</v>
      </c>
      <c r="H75" s="33"/>
      <c r="I75" s="33"/>
      <c r="J75" s="19">
        <v>12085</v>
      </c>
      <c r="N75" s="32">
        <v>412</v>
      </c>
      <c r="O75" s="33">
        <v>420</v>
      </c>
      <c r="P75" s="33">
        <v>605</v>
      </c>
      <c r="Q75" s="33">
        <v>505</v>
      </c>
      <c r="R75" s="33">
        <v>731</v>
      </c>
      <c r="S75" s="33">
        <v>412</v>
      </c>
      <c r="T75" s="33">
        <v>189</v>
      </c>
      <c r="U75" s="19">
        <v>275</v>
      </c>
    </row>
    <row r="76" spans="1:21" x14ac:dyDescent="0.3">
      <c r="B76" s="32">
        <v>4742</v>
      </c>
      <c r="C76" s="33">
        <v>12771</v>
      </c>
      <c r="D76" s="33">
        <v>4632</v>
      </c>
      <c r="E76" s="19">
        <v>5898</v>
      </c>
      <c r="G76" s="32">
        <v>9407</v>
      </c>
      <c r="H76" s="33"/>
      <c r="I76" s="33"/>
      <c r="J76" s="19">
        <v>11165</v>
      </c>
      <c r="L76" s="1">
        <v>4252.3999999999996</v>
      </c>
      <c r="M76" s="1" t="s">
        <v>45</v>
      </c>
      <c r="N76" s="32">
        <v>126</v>
      </c>
      <c r="O76" s="33">
        <v>408</v>
      </c>
      <c r="P76" s="33">
        <v>406</v>
      </c>
      <c r="Q76" s="33">
        <v>410</v>
      </c>
      <c r="R76" s="33">
        <v>419</v>
      </c>
      <c r="S76" s="33">
        <v>411</v>
      </c>
      <c r="T76" s="33">
        <v>404</v>
      </c>
      <c r="U76" s="19">
        <v>405</v>
      </c>
    </row>
    <row r="77" spans="1:21" x14ac:dyDescent="0.3">
      <c r="B77" s="32">
        <v>4807</v>
      </c>
      <c r="C77" s="33">
        <v>13117</v>
      </c>
      <c r="D77" s="33">
        <v>4499</v>
      </c>
      <c r="E77" s="19">
        <v>5664</v>
      </c>
      <c r="G77" s="32">
        <v>9571</v>
      </c>
      <c r="H77" s="33"/>
      <c r="I77" s="33"/>
      <c r="J77" s="19">
        <v>11412</v>
      </c>
      <c r="L77" s="1">
        <v>3227.8</v>
      </c>
      <c r="N77" s="34">
        <v>409</v>
      </c>
      <c r="O77" s="35">
        <v>410</v>
      </c>
      <c r="P77" s="35">
        <v>403</v>
      </c>
      <c r="Q77" s="35">
        <v>411</v>
      </c>
      <c r="R77" s="35">
        <v>419</v>
      </c>
      <c r="S77" s="35">
        <v>384</v>
      </c>
      <c r="T77" s="35">
        <v>404</v>
      </c>
      <c r="U77" s="20">
        <v>405</v>
      </c>
    </row>
    <row r="78" spans="1:21" x14ac:dyDescent="0.3">
      <c r="B78" s="32">
        <v>4510</v>
      </c>
      <c r="C78" s="33">
        <v>13641</v>
      </c>
      <c r="D78" s="33">
        <v>4761</v>
      </c>
      <c r="E78" s="19">
        <v>5849</v>
      </c>
      <c r="G78" s="32">
        <v>9649</v>
      </c>
      <c r="H78" s="33"/>
      <c r="I78" s="33"/>
      <c r="J78" s="19">
        <v>11495</v>
      </c>
      <c r="L78" s="1">
        <v>1613.9</v>
      </c>
      <c r="M78" s="2">
        <f>AVERAGE(N78:U78)</f>
        <v>3232.875</v>
      </c>
      <c r="N78" s="36">
        <f>SUM(N70:N77)</f>
        <v>3193</v>
      </c>
      <c r="O78" s="37">
        <f>SUM(O70:O77)</f>
        <v>3232</v>
      </c>
      <c r="P78" s="37">
        <f t="shared" ref="P78:U78" si="4">SUM(P70:P77)</f>
        <v>3226</v>
      </c>
      <c r="Q78" s="37">
        <f t="shared" si="4"/>
        <v>3291</v>
      </c>
      <c r="R78" s="37">
        <f t="shared" si="4"/>
        <v>3242</v>
      </c>
      <c r="S78" s="37">
        <f t="shared" si="4"/>
        <v>3182</v>
      </c>
      <c r="T78" s="37">
        <f t="shared" si="4"/>
        <v>3275</v>
      </c>
      <c r="U78" s="21">
        <f t="shared" si="4"/>
        <v>3222</v>
      </c>
    </row>
    <row r="79" spans="1:21" x14ac:dyDescent="0.3">
      <c r="B79" s="32">
        <v>4558</v>
      </c>
      <c r="C79" s="33">
        <v>12959</v>
      </c>
      <c r="D79" s="33">
        <v>4551</v>
      </c>
      <c r="E79" s="19">
        <v>6044</v>
      </c>
      <c r="G79" s="32">
        <v>9689</v>
      </c>
      <c r="H79" s="33"/>
      <c r="I79" s="33"/>
      <c r="J79" s="19">
        <v>11412</v>
      </c>
    </row>
    <row r="80" spans="1:21" x14ac:dyDescent="0.3">
      <c r="B80" s="32">
        <v>4693</v>
      </c>
      <c r="C80" s="33">
        <v>12991</v>
      </c>
      <c r="D80" s="33">
        <v>4700</v>
      </c>
      <c r="E80" s="19">
        <v>5834</v>
      </c>
      <c r="G80" s="32">
        <v>9732</v>
      </c>
      <c r="H80" s="33"/>
      <c r="I80" s="33"/>
      <c r="J80" s="19">
        <v>11318</v>
      </c>
      <c r="N80" s="1">
        <v>501</v>
      </c>
      <c r="O80" s="1">
        <v>598</v>
      </c>
      <c r="P80" s="1">
        <v>735</v>
      </c>
      <c r="Q80" s="1">
        <v>331</v>
      </c>
      <c r="R80" s="1">
        <v>126</v>
      </c>
      <c r="S80" s="1">
        <v>212</v>
      </c>
      <c r="T80" s="1">
        <v>195</v>
      </c>
      <c r="U80" s="1">
        <v>592</v>
      </c>
    </row>
    <row r="81" spans="2:21" x14ac:dyDescent="0.3">
      <c r="B81" s="32">
        <v>4866</v>
      </c>
      <c r="C81" s="33">
        <v>13227</v>
      </c>
      <c r="D81" s="33">
        <v>4855</v>
      </c>
      <c r="E81" s="19">
        <v>5971</v>
      </c>
      <c r="G81" s="32">
        <v>9265</v>
      </c>
      <c r="H81" s="33"/>
      <c r="I81" s="33"/>
      <c r="J81" s="19">
        <v>11681</v>
      </c>
      <c r="N81" s="1">
        <v>292</v>
      </c>
      <c r="O81" s="1">
        <v>212</v>
      </c>
      <c r="P81" s="1">
        <v>90</v>
      </c>
      <c r="Q81" s="1">
        <v>454</v>
      </c>
      <c r="R81" s="1">
        <v>654</v>
      </c>
      <c r="S81" s="1">
        <v>591</v>
      </c>
      <c r="T81" s="1">
        <v>603</v>
      </c>
      <c r="U81" s="1">
        <v>252</v>
      </c>
    </row>
    <row r="82" spans="2:21" x14ac:dyDescent="0.3">
      <c r="B82" s="34">
        <v>4781</v>
      </c>
      <c r="C82" s="35">
        <v>12538</v>
      </c>
      <c r="D82" s="35">
        <v>4598</v>
      </c>
      <c r="E82" s="20">
        <v>5768</v>
      </c>
      <c r="G82" s="34">
        <v>9593</v>
      </c>
      <c r="H82" s="35"/>
      <c r="I82" s="35"/>
      <c r="J82" s="20">
        <v>12113</v>
      </c>
      <c r="N82" s="1">
        <v>396</v>
      </c>
      <c r="O82" s="1">
        <v>406</v>
      </c>
      <c r="P82" s="1">
        <v>411</v>
      </c>
      <c r="Q82" s="1">
        <v>392</v>
      </c>
      <c r="R82" s="1">
        <v>390</v>
      </c>
      <c r="S82" s="1">
        <v>401</v>
      </c>
      <c r="T82" s="1">
        <v>398</v>
      </c>
      <c r="U82" s="1">
        <v>422</v>
      </c>
    </row>
    <row r="83" spans="2:21" x14ac:dyDescent="0.3">
      <c r="B83" s="2">
        <f>AVERAGE(B70:B82)</f>
        <v>4697.9230769230771</v>
      </c>
      <c r="C83" s="2">
        <f>AVERAGE(C70:C82)</f>
        <v>13094.692307692309</v>
      </c>
      <c r="D83" s="2">
        <f>AVERAGE(D70:D82)</f>
        <v>4648</v>
      </c>
      <c r="E83" s="2">
        <f>AVERAGE(E70:E82)</f>
        <v>5850.75</v>
      </c>
      <c r="G83" s="2">
        <f>AVERAGE(G70:G82)</f>
        <v>9498</v>
      </c>
      <c r="H83" s="2" t="e">
        <f>AVERAGE(H70:H82)</f>
        <v>#DIV/0!</v>
      </c>
      <c r="I83" s="2" t="e">
        <f>AVERAGE(I70:I82)</f>
        <v>#DIV/0!</v>
      </c>
      <c r="J83" s="2">
        <f>AVERAGE(J70:J82)</f>
        <v>11547.461538461539</v>
      </c>
      <c r="N83" s="1">
        <v>396</v>
      </c>
      <c r="O83" s="1">
        <v>405</v>
      </c>
      <c r="P83" s="1">
        <v>411</v>
      </c>
      <c r="Q83" s="1">
        <v>392</v>
      </c>
      <c r="R83" s="1">
        <v>391</v>
      </c>
      <c r="S83" s="1">
        <v>401</v>
      </c>
      <c r="T83" s="1">
        <v>398</v>
      </c>
      <c r="U83" s="1">
        <v>422</v>
      </c>
    </row>
    <row r="84" spans="2:21" ht="16.5" customHeight="1" x14ac:dyDescent="0.3">
      <c r="C84" s="44">
        <f>C83/B83*100</f>
        <v>278.73364661961915</v>
      </c>
      <c r="E84" s="45"/>
      <c r="F84" s="45"/>
      <c r="M84" s="2">
        <f>AVERAGE(N84:U84)</f>
        <v>1608.75</v>
      </c>
      <c r="N84" s="2">
        <f>SUM(N80:N83)</f>
        <v>1585</v>
      </c>
      <c r="O84" s="2">
        <f t="shared" ref="O84:U84" si="5">SUM(O80:O83)</f>
        <v>1621</v>
      </c>
      <c r="P84" s="2">
        <f t="shared" si="5"/>
        <v>1647</v>
      </c>
      <c r="Q84" s="2">
        <f t="shared" si="5"/>
        <v>1569</v>
      </c>
      <c r="R84" s="2">
        <f t="shared" si="5"/>
        <v>1561</v>
      </c>
      <c r="S84" s="2">
        <f t="shared" si="5"/>
        <v>1605</v>
      </c>
      <c r="T84" s="2">
        <f t="shared" si="5"/>
        <v>1594</v>
      </c>
      <c r="U84" s="2">
        <f t="shared" si="5"/>
        <v>1688</v>
      </c>
    </row>
    <row r="85" spans="2:21" ht="46.5" customHeight="1" x14ac:dyDescent="0.3">
      <c r="B85" s="72" t="s">
        <v>48</v>
      </c>
      <c r="C85" s="72"/>
      <c r="D85" s="72" t="s">
        <v>49</v>
      </c>
      <c r="E85" s="72"/>
      <c r="F85" s="45"/>
      <c r="G85" s="45"/>
    </row>
    <row r="86" spans="2:21" ht="16.5" hidden="1" customHeight="1" x14ac:dyDescent="0.3">
      <c r="B86" s="14"/>
      <c r="C86" s="14"/>
      <c r="D86" s="14"/>
      <c r="E86" s="45"/>
      <c r="F86" s="45"/>
      <c r="G86" s="45"/>
    </row>
    <row r="88" spans="2:21" x14ac:dyDescent="0.3">
      <c r="B88" s="26"/>
      <c r="C88" s="26"/>
      <c r="D88" s="26"/>
      <c r="E88" s="26"/>
      <c r="F88" s="26"/>
    </row>
    <row r="89" spans="2:21" x14ac:dyDescent="0.3">
      <c r="B89" s="59" t="s">
        <v>57</v>
      </c>
      <c r="C89" s="59"/>
      <c r="D89" s="59"/>
      <c r="E89" s="59"/>
      <c r="F89" s="59"/>
      <c r="G89" s="1" t="s">
        <v>56</v>
      </c>
    </row>
    <row r="90" spans="2:21" x14ac:dyDescent="0.3">
      <c r="B90" s="59"/>
      <c r="C90" s="59"/>
      <c r="D90" s="59"/>
      <c r="E90" s="59"/>
      <c r="F90" s="59"/>
      <c r="H90" s="46">
        <f>AVERAGE(I90:Q90)</f>
        <v>9484</v>
      </c>
      <c r="I90" s="1">
        <v>9159</v>
      </c>
      <c r="J90" s="1">
        <v>9545</v>
      </c>
      <c r="K90" s="1">
        <v>9561</v>
      </c>
      <c r="L90" s="1">
        <v>9253</v>
      </c>
      <c r="M90" s="1">
        <v>9678</v>
      </c>
      <c r="N90" s="1">
        <v>9619</v>
      </c>
      <c r="O90" s="1">
        <v>9573</v>
      </c>
    </row>
    <row r="91" spans="2:21" x14ac:dyDescent="0.3">
      <c r="B91" s="8" t="s">
        <v>31</v>
      </c>
      <c r="C91" s="29" t="s">
        <v>58</v>
      </c>
      <c r="D91" s="29" t="s">
        <v>59</v>
      </c>
      <c r="E91" s="29" t="s">
        <v>60</v>
      </c>
      <c r="F91" s="29" t="s">
        <v>61</v>
      </c>
      <c r="G91" s="1" t="s">
        <v>54</v>
      </c>
      <c r="H91" s="46">
        <f t="shared" ref="H91:H96" si="6">AVERAGE(I91:Q91)</f>
        <v>4829.4285714285716</v>
      </c>
      <c r="I91" s="1">
        <v>4977</v>
      </c>
      <c r="J91" s="1">
        <v>4712</v>
      </c>
      <c r="K91" s="1">
        <v>4957</v>
      </c>
      <c r="L91" s="1">
        <v>4821</v>
      </c>
      <c r="M91" s="1">
        <v>4846</v>
      </c>
      <c r="N91" s="1">
        <v>4798</v>
      </c>
      <c r="O91" s="1">
        <v>4695</v>
      </c>
    </row>
    <row r="92" spans="2:21" x14ac:dyDescent="0.3">
      <c r="B92" s="38">
        <v>10</v>
      </c>
      <c r="C92" s="39">
        <f>G104/0.7*2*B92/100*1.3+G104/0.7*(100-B92)/100*1.3</f>
        <v>23569.172448979596</v>
      </c>
      <c r="D92" s="39">
        <f>G108*2*B92/100+G108*(100-B92)/100</f>
        <v>24876.971428571429</v>
      </c>
      <c r="E92" s="39">
        <f>G109*2*B92/100+G109*(100-B92)/100</f>
        <v>27535.042857142864</v>
      </c>
      <c r="F92" s="39">
        <f>G104/0.7*2.5*(20+B92)/100+G104/0.7*(80-B92)/100</f>
        <v>23898.8112244898</v>
      </c>
      <c r="G92" s="1" t="s">
        <v>52</v>
      </c>
      <c r="H92" s="46">
        <f t="shared" si="6"/>
        <v>2348.6666666666665</v>
      </c>
      <c r="I92" s="1">
        <v>2331</v>
      </c>
      <c r="J92" s="1">
        <v>2313</v>
      </c>
      <c r="K92" s="1">
        <v>2286</v>
      </c>
      <c r="L92" s="1">
        <v>2388</v>
      </c>
      <c r="M92" s="1">
        <v>2283</v>
      </c>
      <c r="N92" s="1">
        <v>2405</v>
      </c>
      <c r="O92" s="1">
        <v>2363</v>
      </c>
      <c r="P92" s="1">
        <v>2383</v>
      </c>
      <c r="Q92" s="1">
        <v>2386</v>
      </c>
    </row>
    <row r="93" spans="2:21" x14ac:dyDescent="0.3">
      <c r="B93" s="38">
        <v>40</v>
      </c>
      <c r="C93" s="39">
        <f>G104/0.7*2*B93/100*1.3+G104/0.7*(100-B93)/100*1.3</f>
        <v>29997.128571428577</v>
      </c>
      <c r="D93" s="39">
        <f>G108*2*B93/100+G108*(100-B93)/100</f>
        <v>31661.600000000002</v>
      </c>
      <c r="E93" s="39">
        <f>G109*2*B93/100+G109*(100-B93)/100</f>
        <v>35044.6</v>
      </c>
      <c r="F93" s="39">
        <f>G104/0.7*2.5*(20+B93)/100+G104/0.7*(80-B93)/100</f>
        <v>31315.683673469393</v>
      </c>
      <c r="G93" s="2">
        <f>(H90+H91+H92)/2+(H94+H95+H96)/2/2.5</f>
        <v>16559.367619047618</v>
      </c>
      <c r="H93" s="46" t="e">
        <f t="shared" si="6"/>
        <v>#DIV/0!</v>
      </c>
    </row>
    <row r="94" spans="2:21" x14ac:dyDescent="0.3">
      <c r="B94" s="38">
        <v>70</v>
      </c>
      <c r="C94" s="39">
        <f>G104/0.7*2*B94/100*1.3+G104/0.7*(100-B94)/100*1.3</f>
        <v>36425.084693877558</v>
      </c>
      <c r="D94" s="39">
        <f>G108*2*B94/100+G108*(100-B94)/100</f>
        <v>38446.228571428568</v>
      </c>
      <c r="E94" s="39">
        <f>G109*2*B94/100+G109*(100-B94)/100</f>
        <v>42554.157142857148</v>
      </c>
      <c r="F94" s="39">
        <f>G104/0.7*2.5*(20+B94)/100+G104/0.7*(80-B94)/100</f>
        <v>38732.556122448987</v>
      </c>
      <c r="H94" s="46">
        <f t="shared" si="6"/>
        <v>23332</v>
      </c>
      <c r="I94" s="1">
        <v>23749</v>
      </c>
      <c r="J94" s="1">
        <v>23000</v>
      </c>
      <c r="K94" s="1">
        <v>23704</v>
      </c>
      <c r="L94" s="1">
        <v>23112</v>
      </c>
      <c r="M94" s="1">
        <v>22830</v>
      </c>
      <c r="N94" s="1">
        <v>23396</v>
      </c>
      <c r="O94" s="1">
        <v>23533</v>
      </c>
    </row>
    <row r="95" spans="2:21" x14ac:dyDescent="0.3">
      <c r="B95" s="29"/>
      <c r="C95" s="40"/>
      <c r="D95" s="29"/>
      <c r="E95" s="29"/>
      <c r="F95" s="29"/>
      <c r="G95" s="1" t="s">
        <v>62</v>
      </c>
      <c r="H95" s="46">
        <f t="shared" si="6"/>
        <v>11914</v>
      </c>
      <c r="I95" s="1">
        <v>12286</v>
      </c>
      <c r="J95" s="1">
        <v>11834</v>
      </c>
      <c r="K95" s="1">
        <v>12310</v>
      </c>
      <c r="L95" s="1">
        <v>11707</v>
      </c>
      <c r="M95" s="1">
        <v>11575</v>
      </c>
      <c r="N95" s="1">
        <v>11964</v>
      </c>
      <c r="O95" s="1">
        <v>11722</v>
      </c>
    </row>
    <row r="96" spans="2:21" x14ac:dyDescent="0.3">
      <c r="B96" s="26"/>
      <c r="C96" s="26"/>
      <c r="D96" s="26"/>
      <c r="E96" s="26"/>
      <c r="F96" s="26"/>
      <c r="H96" s="46">
        <f t="shared" si="6"/>
        <v>5895.6</v>
      </c>
      <c r="I96" s="1">
        <v>5912</v>
      </c>
      <c r="J96" s="1">
        <v>6070</v>
      </c>
      <c r="K96" s="1">
        <v>5904</v>
      </c>
      <c r="L96" s="1">
        <v>5835</v>
      </c>
      <c r="M96" s="1">
        <v>5757</v>
      </c>
    </row>
    <row r="97" spans="2:22" ht="16.5" customHeight="1" x14ac:dyDescent="0.3">
      <c r="B97" s="72"/>
      <c r="C97" s="72"/>
      <c r="D97" s="72"/>
      <c r="E97" s="72"/>
      <c r="F97" s="72"/>
      <c r="G97" s="1" t="s">
        <v>55</v>
      </c>
    </row>
    <row r="98" spans="2:22" x14ac:dyDescent="0.3">
      <c r="B98" s="72"/>
      <c r="C98" s="72"/>
      <c r="D98" s="72"/>
      <c r="E98" s="72"/>
      <c r="F98" s="72"/>
      <c r="G98" s="1" t="s">
        <v>51</v>
      </c>
      <c r="H98" s="43">
        <f>AVERAGE(I98:R98)</f>
        <v>12152.8</v>
      </c>
      <c r="I98" s="1">
        <v>11739</v>
      </c>
      <c r="J98" s="1">
        <v>11891</v>
      </c>
      <c r="K98" s="1">
        <v>11853</v>
      </c>
      <c r="L98" s="1">
        <v>12308</v>
      </c>
      <c r="M98" s="1">
        <v>12110</v>
      </c>
      <c r="N98" s="1">
        <v>12049</v>
      </c>
      <c r="O98" s="1">
        <v>11874</v>
      </c>
      <c r="P98" s="1">
        <v>12355</v>
      </c>
      <c r="Q98" s="1">
        <v>12593</v>
      </c>
      <c r="R98" s="1">
        <v>12756</v>
      </c>
    </row>
    <row r="99" spans="2:22" x14ac:dyDescent="0.3">
      <c r="B99" s="72"/>
      <c r="C99" s="72"/>
      <c r="D99" s="72"/>
      <c r="E99" s="72"/>
      <c r="F99" s="72"/>
      <c r="G99" s="1">
        <f>SUM(H98+H99+H100)</f>
        <v>21368.899999999998</v>
      </c>
      <c r="H99" s="43">
        <f>AVERAGE(I99:R99)</f>
        <v>6206.8</v>
      </c>
      <c r="I99" s="1">
        <v>6040</v>
      </c>
      <c r="J99" s="1">
        <v>6152</v>
      </c>
      <c r="K99" s="1">
        <v>6379</v>
      </c>
      <c r="L99" s="1">
        <v>6320</v>
      </c>
      <c r="M99" s="1">
        <v>6105</v>
      </c>
      <c r="N99" s="1">
        <v>6309</v>
      </c>
      <c r="O99" s="1">
        <v>6194</v>
      </c>
      <c r="P99" s="1">
        <v>6098</v>
      </c>
      <c r="Q99" s="1">
        <v>6425</v>
      </c>
      <c r="R99" s="1">
        <v>6046</v>
      </c>
    </row>
    <row r="100" spans="2:22" x14ac:dyDescent="0.3">
      <c r="B100" s="72"/>
      <c r="C100" s="72"/>
      <c r="D100" s="72"/>
      <c r="E100" s="72"/>
      <c r="F100" s="72"/>
      <c r="H100" s="43">
        <f>AVERAGE(I100:R100)</f>
        <v>3009.3</v>
      </c>
      <c r="I100" s="1">
        <v>3104</v>
      </c>
      <c r="J100" s="1">
        <v>2997</v>
      </c>
      <c r="K100" s="1">
        <v>2920</v>
      </c>
      <c r="L100" s="1">
        <v>3033</v>
      </c>
      <c r="M100" s="1">
        <v>2975</v>
      </c>
      <c r="N100" s="1">
        <v>3016</v>
      </c>
      <c r="O100" s="1">
        <v>3083</v>
      </c>
      <c r="P100" s="1">
        <v>2917</v>
      </c>
      <c r="Q100" s="1">
        <v>3008</v>
      </c>
      <c r="R100" s="1">
        <v>3040</v>
      </c>
    </row>
    <row r="101" spans="2:22" x14ac:dyDescent="0.3">
      <c r="B101" s="72"/>
      <c r="C101" s="72"/>
      <c r="D101" s="72"/>
      <c r="E101" s="72"/>
      <c r="F101" s="72"/>
      <c r="G101" s="1" t="s">
        <v>54</v>
      </c>
    </row>
    <row r="102" spans="2:22" x14ac:dyDescent="0.3">
      <c r="B102" s="72"/>
      <c r="C102" s="72"/>
      <c r="D102" s="72"/>
      <c r="E102" s="72"/>
      <c r="F102" s="72"/>
      <c r="G102" s="1" t="s">
        <v>53</v>
      </c>
      <c r="H102" s="46">
        <f>AVERAGE(I102:V102)</f>
        <v>6558</v>
      </c>
      <c r="I102" s="1">
        <v>6462</v>
      </c>
      <c r="J102" s="1">
        <v>6559</v>
      </c>
      <c r="K102" s="1">
        <v>6695</v>
      </c>
      <c r="L102" s="1">
        <v>6728</v>
      </c>
      <c r="M102" s="1">
        <v>6518</v>
      </c>
      <c r="N102" s="1">
        <v>6895</v>
      </c>
      <c r="O102" s="1">
        <v>6376</v>
      </c>
      <c r="P102" s="1">
        <v>6488</v>
      </c>
      <c r="Q102" s="1">
        <v>6430</v>
      </c>
      <c r="R102" s="1">
        <v>6591</v>
      </c>
      <c r="S102" s="1">
        <v>6801</v>
      </c>
      <c r="T102" s="1">
        <v>6446</v>
      </c>
      <c r="U102" s="1">
        <v>6567</v>
      </c>
      <c r="V102" s="1">
        <v>6256</v>
      </c>
    </row>
    <row r="103" spans="2:22" x14ac:dyDescent="0.3">
      <c r="B103" s="72"/>
      <c r="C103" s="72"/>
      <c r="D103" s="72"/>
      <c r="E103" s="72"/>
      <c r="F103" s="72"/>
      <c r="H103" s="46">
        <f>AVERAGE(I103:V103)</f>
        <v>3356.2142857142858</v>
      </c>
      <c r="I103" s="1">
        <v>3199</v>
      </c>
      <c r="J103" s="1">
        <v>3453</v>
      </c>
      <c r="K103" s="1">
        <v>3423</v>
      </c>
      <c r="L103" s="1">
        <v>3402</v>
      </c>
      <c r="M103" s="1">
        <v>3442</v>
      </c>
      <c r="N103" s="1">
        <v>3400</v>
      </c>
      <c r="O103" s="1">
        <v>3271</v>
      </c>
      <c r="P103" s="1">
        <v>3389</v>
      </c>
      <c r="Q103" s="1">
        <v>3359</v>
      </c>
      <c r="R103" s="1">
        <v>3356</v>
      </c>
      <c r="S103" s="1">
        <v>3405</v>
      </c>
      <c r="T103" s="1">
        <v>3261</v>
      </c>
      <c r="U103" s="1">
        <v>3381</v>
      </c>
      <c r="V103" s="1">
        <v>3246</v>
      </c>
    </row>
    <row r="104" spans="2:22" x14ac:dyDescent="0.3">
      <c r="B104" s="72"/>
      <c r="C104" s="72"/>
      <c r="D104" s="72"/>
      <c r="E104" s="72"/>
      <c r="F104" s="72"/>
      <c r="G104" s="47">
        <f>SUM(H102:H104)</f>
        <v>11537.357142857143</v>
      </c>
      <c r="H104" s="46">
        <f>AVERAGE(I104:V104)</f>
        <v>1623.1428571428571</v>
      </c>
      <c r="I104" s="1">
        <v>1629</v>
      </c>
      <c r="J104" s="1">
        <v>1655</v>
      </c>
      <c r="K104" s="1">
        <v>1613</v>
      </c>
      <c r="L104" s="1">
        <v>1615</v>
      </c>
      <c r="M104" s="1">
        <v>1570</v>
      </c>
      <c r="N104" s="1">
        <v>1561</v>
      </c>
      <c r="O104" s="1">
        <v>1618</v>
      </c>
      <c r="P104" s="1">
        <v>1684</v>
      </c>
      <c r="Q104" s="1">
        <v>1654</v>
      </c>
      <c r="R104" s="1">
        <v>1621</v>
      </c>
      <c r="S104" s="1">
        <v>1621</v>
      </c>
      <c r="T104" s="1">
        <v>1596</v>
      </c>
      <c r="U104" s="1">
        <v>1655</v>
      </c>
      <c r="V104" s="1">
        <v>1632</v>
      </c>
    </row>
    <row r="105" spans="2:22" x14ac:dyDescent="0.3">
      <c r="B105" s="72"/>
      <c r="C105" s="72"/>
      <c r="D105" s="72"/>
      <c r="E105" s="72"/>
      <c r="F105" s="72"/>
      <c r="G105" s="48">
        <f>SUM(H106:H108)</f>
        <v>11078.071428571428</v>
      </c>
      <c r="H105" s="46"/>
    </row>
    <row r="106" spans="2:22" x14ac:dyDescent="0.3">
      <c r="B106" s="72"/>
      <c r="C106" s="72"/>
      <c r="D106" s="72"/>
      <c r="E106" s="72"/>
      <c r="F106" s="72"/>
      <c r="G106" s="49">
        <f>SUM(H106:H109)</f>
        <v>13494.5</v>
      </c>
      <c r="H106" s="46">
        <f>AVERAGE(I106:V106)</f>
        <v>3697.2857142857142</v>
      </c>
      <c r="I106" s="1">
        <v>3708</v>
      </c>
      <c r="J106" s="1">
        <v>3708</v>
      </c>
      <c r="K106" s="1">
        <v>3780</v>
      </c>
      <c r="L106" s="1">
        <v>3708</v>
      </c>
      <c r="M106" s="1">
        <v>3772</v>
      </c>
      <c r="N106" s="1">
        <v>3755</v>
      </c>
      <c r="O106" s="1">
        <v>3789</v>
      </c>
      <c r="P106" s="1">
        <v>3639</v>
      </c>
      <c r="Q106" s="1">
        <v>3600</v>
      </c>
      <c r="R106" s="1">
        <v>3543</v>
      </c>
      <c r="S106" s="1">
        <v>3747</v>
      </c>
      <c r="T106" s="1">
        <v>3606</v>
      </c>
      <c r="U106" s="1">
        <v>3660</v>
      </c>
      <c r="V106" s="1">
        <v>3747</v>
      </c>
    </row>
    <row r="107" spans="2:22" x14ac:dyDescent="0.3">
      <c r="B107" s="72"/>
      <c r="C107" s="72"/>
      <c r="D107" s="72"/>
      <c r="E107" s="72"/>
      <c r="F107" s="72"/>
      <c r="H107" s="46">
        <f>AVERAGE(I107:V107)</f>
        <v>3694.2142857142858</v>
      </c>
      <c r="I107" s="1">
        <v>3702</v>
      </c>
      <c r="J107" s="1">
        <v>3578</v>
      </c>
      <c r="K107" s="1">
        <v>3624</v>
      </c>
      <c r="L107" s="1">
        <v>3810</v>
      </c>
      <c r="M107" s="1">
        <v>3651</v>
      </c>
      <c r="N107" s="1">
        <v>3687</v>
      </c>
      <c r="O107" s="1">
        <v>3741</v>
      </c>
      <c r="P107" s="1">
        <v>3786</v>
      </c>
      <c r="Q107" s="1">
        <v>3564</v>
      </c>
      <c r="R107" s="1">
        <v>3696</v>
      </c>
      <c r="S107" s="1">
        <v>3717</v>
      </c>
      <c r="T107" s="1">
        <v>3825</v>
      </c>
      <c r="U107" s="1">
        <v>3675</v>
      </c>
      <c r="V107" s="1">
        <v>3663</v>
      </c>
    </row>
    <row r="108" spans="2:22" x14ac:dyDescent="0.3">
      <c r="B108" s="72"/>
      <c r="C108" s="72"/>
      <c r="D108" s="72"/>
      <c r="E108" s="72"/>
      <c r="F108" s="72"/>
      <c r="G108" s="50">
        <f>SUM(G104,G105)</f>
        <v>22615.428571428572</v>
      </c>
      <c r="H108" s="46">
        <f>AVERAGE(I108:V108)</f>
        <v>3686.5714285714284</v>
      </c>
      <c r="I108" s="1">
        <v>3513</v>
      </c>
      <c r="J108" s="1">
        <v>3732</v>
      </c>
      <c r="K108" s="1">
        <v>3672</v>
      </c>
      <c r="L108" s="1">
        <v>3675</v>
      </c>
      <c r="M108" s="1">
        <v>3765</v>
      </c>
      <c r="N108" s="1">
        <v>3651</v>
      </c>
      <c r="O108" s="1">
        <v>3732</v>
      </c>
      <c r="P108" s="1">
        <v>3705</v>
      </c>
      <c r="Q108" s="1">
        <v>3723</v>
      </c>
      <c r="R108" s="1">
        <v>3777</v>
      </c>
      <c r="S108" s="1">
        <v>3582</v>
      </c>
      <c r="T108" s="1">
        <v>3741</v>
      </c>
      <c r="U108" s="1">
        <v>3717</v>
      </c>
      <c r="V108" s="1">
        <v>3627</v>
      </c>
    </row>
    <row r="109" spans="2:22" x14ac:dyDescent="0.3">
      <c r="G109" s="50">
        <f>SUM(G104,G106)</f>
        <v>25031.857142857145</v>
      </c>
      <c r="H109" s="46">
        <f>AVERAGE(I109:V109)</f>
        <v>2416.4285714285716</v>
      </c>
      <c r="J109" s="1">
        <v>2411</v>
      </c>
      <c r="K109" s="1">
        <v>2342</v>
      </c>
      <c r="M109" s="1">
        <v>2450</v>
      </c>
      <c r="P109" s="1">
        <v>2482</v>
      </c>
      <c r="S109" s="1">
        <v>2334</v>
      </c>
      <c r="T109" s="1">
        <v>2544</v>
      </c>
      <c r="U109" s="1">
        <v>2352</v>
      </c>
    </row>
  </sheetData>
  <mergeCells count="32">
    <mergeCell ref="L56:O56"/>
    <mergeCell ref="G68:J68"/>
    <mergeCell ref="F57:I58"/>
    <mergeCell ref="K57:N58"/>
    <mergeCell ref="N68:O68"/>
    <mergeCell ref="B56:I56"/>
    <mergeCell ref="B57:D58"/>
    <mergeCell ref="C31:D31"/>
    <mergeCell ref="E31:J31"/>
    <mergeCell ref="B97:F108"/>
    <mergeCell ref="D55:H55"/>
    <mergeCell ref="B89:F90"/>
    <mergeCell ref="B68:E68"/>
    <mergeCell ref="B85:C85"/>
    <mergeCell ref="D85:E85"/>
    <mergeCell ref="I55:K55"/>
    <mergeCell ref="C32:C33"/>
    <mergeCell ref="D32:D33"/>
    <mergeCell ref="E32:F32"/>
    <mergeCell ref="G32:H32"/>
    <mergeCell ref="I32:J32"/>
    <mergeCell ref="K28:Q28"/>
    <mergeCell ref="I5:J5"/>
    <mergeCell ref="E4:J4"/>
    <mergeCell ref="H28:J28"/>
    <mergeCell ref="H29:J29"/>
    <mergeCell ref="K29:Q29"/>
    <mergeCell ref="C4:D4"/>
    <mergeCell ref="C5:C6"/>
    <mergeCell ref="D5:D6"/>
    <mergeCell ref="E5:F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1"/>
  <sheetViews>
    <sheetView tabSelected="1" topLeftCell="A49" workbookViewId="0">
      <selection activeCell="D74" sqref="D74"/>
    </sheetView>
  </sheetViews>
  <sheetFormatPr defaultRowHeight="16.5" x14ac:dyDescent="0.3"/>
  <cols>
    <col min="1" max="1" width="16.125" style="53" customWidth="1"/>
    <col min="2" max="10" width="18.625" style="53" customWidth="1"/>
    <col min="11" max="12" width="20.625" style="53" customWidth="1"/>
    <col min="13" max="21" width="18.625" style="53" customWidth="1"/>
    <col min="22" max="16384" width="9" style="53"/>
  </cols>
  <sheetData>
    <row r="1" spans="2:13" x14ac:dyDescent="0.3">
      <c r="B1" s="52" t="s">
        <v>70</v>
      </c>
      <c r="C1" s="52" t="s">
        <v>69</v>
      </c>
      <c r="D1" s="52" t="s">
        <v>72</v>
      </c>
      <c r="E1" s="8" t="s">
        <v>71</v>
      </c>
      <c r="F1" s="8" t="s">
        <v>75</v>
      </c>
      <c r="G1" s="88" t="s">
        <v>76</v>
      </c>
      <c r="H1" s="89" t="s">
        <v>77</v>
      </c>
    </row>
    <row r="2" spans="2:13" ht="16.5" customHeight="1" x14ac:dyDescent="0.3">
      <c r="B2" s="53" t="s">
        <v>73</v>
      </c>
      <c r="C2" s="52">
        <v>500</v>
      </c>
      <c r="D2" s="38">
        <v>200</v>
      </c>
      <c r="E2" s="8">
        <v>0</v>
      </c>
      <c r="F2" s="8">
        <v>100</v>
      </c>
      <c r="G2" s="86">
        <f>E2*0.05</f>
        <v>0</v>
      </c>
      <c r="H2" s="87">
        <f>F2*0.0358+1</f>
        <v>4.58</v>
      </c>
      <c r="K2" s="45"/>
      <c r="L2" s="45"/>
      <c r="M2" s="45"/>
    </row>
    <row r="3" spans="2:13" x14ac:dyDescent="0.3">
      <c r="K3" s="45"/>
      <c r="L3" s="122" t="s">
        <v>116</v>
      </c>
      <c r="M3" s="45"/>
    </row>
    <row r="4" spans="2:13" ht="17.25" customHeight="1" x14ac:dyDescent="0.3">
      <c r="B4" s="99" t="s">
        <v>88</v>
      </c>
      <c r="C4" s="69" t="s">
        <v>74</v>
      </c>
      <c r="D4" s="71"/>
      <c r="E4" s="59" t="s">
        <v>80</v>
      </c>
      <c r="F4" s="59"/>
      <c r="G4" s="98" t="s">
        <v>84</v>
      </c>
      <c r="H4" s="69" t="s">
        <v>85</v>
      </c>
      <c r="I4" s="71"/>
      <c r="J4" s="112" t="s">
        <v>98</v>
      </c>
      <c r="K4" s="52" t="s">
        <v>89</v>
      </c>
      <c r="L4" s="99" t="s">
        <v>101</v>
      </c>
      <c r="M4" s="99" t="s">
        <v>99</v>
      </c>
    </row>
    <row r="5" spans="2:13" ht="16.5" customHeight="1" x14ac:dyDescent="0.3">
      <c r="B5" s="103"/>
      <c r="C5" s="64" t="s">
        <v>9</v>
      </c>
      <c r="D5" s="65"/>
      <c r="E5" s="60" t="s">
        <v>5</v>
      </c>
      <c r="F5" s="62" t="s">
        <v>79</v>
      </c>
      <c r="G5" s="99" t="s">
        <v>83</v>
      </c>
      <c r="H5" s="64" t="s">
        <v>86</v>
      </c>
      <c r="I5" s="65" t="s">
        <v>87</v>
      </c>
      <c r="J5" s="113"/>
      <c r="K5" s="59" t="s">
        <v>90</v>
      </c>
      <c r="L5" s="100"/>
      <c r="M5" s="107"/>
    </row>
    <row r="6" spans="2:13" x14ac:dyDescent="0.3">
      <c r="C6" s="81"/>
      <c r="D6" s="82"/>
      <c r="E6" s="61"/>
      <c r="F6" s="63"/>
      <c r="G6" s="100"/>
      <c r="H6" s="93"/>
      <c r="I6" s="94"/>
      <c r="J6" s="114"/>
      <c r="K6" s="59"/>
      <c r="L6" s="22" t="s">
        <v>91</v>
      </c>
      <c r="M6" s="100"/>
    </row>
    <row r="7" spans="2:13" x14ac:dyDescent="0.3">
      <c r="C7" s="4">
        <v>5434</v>
      </c>
      <c r="D7" s="18">
        <v>5562</v>
      </c>
      <c r="E7" s="56">
        <v>978</v>
      </c>
      <c r="F7" s="54">
        <v>1008</v>
      </c>
      <c r="G7" s="101">
        <v>1564</v>
      </c>
      <c r="H7" s="77">
        <v>594</v>
      </c>
      <c r="I7" s="19">
        <f>2802+2048</f>
        <v>4850</v>
      </c>
      <c r="J7" s="109">
        <v>1999</v>
      </c>
      <c r="K7" s="78">
        <v>1691</v>
      </c>
      <c r="L7" s="4">
        <v>9874</v>
      </c>
      <c r="M7" s="105">
        <v>3804</v>
      </c>
    </row>
    <row r="8" spans="2:13" x14ac:dyDescent="0.3">
      <c r="C8" s="4">
        <v>5403</v>
      </c>
      <c r="D8" s="19">
        <v>5435</v>
      </c>
      <c r="E8" s="4">
        <v>938</v>
      </c>
      <c r="F8" s="11">
        <v>949</v>
      </c>
      <c r="G8" s="101">
        <v>1512</v>
      </c>
      <c r="H8" s="77">
        <v>611</v>
      </c>
      <c r="I8" s="19">
        <f>3174+1841</f>
        <v>5015</v>
      </c>
      <c r="J8" s="110">
        <v>2018</v>
      </c>
      <c r="K8" s="105">
        <v>1630</v>
      </c>
      <c r="L8" s="4">
        <v>9666</v>
      </c>
      <c r="M8" s="105">
        <v>3708</v>
      </c>
    </row>
    <row r="9" spans="2:13" x14ac:dyDescent="0.3">
      <c r="C9" s="4">
        <v>5414</v>
      </c>
      <c r="D9" s="19">
        <v>5473</v>
      </c>
      <c r="E9" s="4">
        <v>959</v>
      </c>
      <c r="F9" s="11">
        <v>977</v>
      </c>
      <c r="G9" s="101">
        <v>1583</v>
      </c>
      <c r="H9" s="77">
        <v>618</v>
      </c>
      <c r="I9" s="19">
        <f>2168+2800</f>
        <v>4968</v>
      </c>
      <c r="J9" s="110">
        <v>1997</v>
      </c>
      <c r="K9" s="105">
        <v>1633</v>
      </c>
      <c r="L9" s="4">
        <v>9373</v>
      </c>
      <c r="M9" s="105">
        <v>3756</v>
      </c>
    </row>
    <row r="10" spans="2:13" x14ac:dyDescent="0.3">
      <c r="C10" s="4">
        <v>5294</v>
      </c>
      <c r="D10" s="19">
        <v>5567</v>
      </c>
      <c r="E10" s="4">
        <v>1015</v>
      </c>
      <c r="F10" s="11">
        <v>966</v>
      </c>
      <c r="G10" s="101">
        <v>1516</v>
      </c>
      <c r="H10" s="77">
        <v>612</v>
      </c>
      <c r="I10" s="19">
        <f>3178+1719</f>
        <v>4897</v>
      </c>
      <c r="J10" s="110">
        <v>2032</v>
      </c>
      <c r="K10" s="105">
        <v>1611</v>
      </c>
      <c r="L10" s="4">
        <v>10247</v>
      </c>
      <c r="M10" s="105">
        <v>3711</v>
      </c>
    </row>
    <row r="11" spans="2:13" x14ac:dyDescent="0.3">
      <c r="C11" s="4">
        <v>5533</v>
      </c>
      <c r="D11" s="19">
        <v>5538</v>
      </c>
      <c r="E11" s="4">
        <v>984</v>
      </c>
      <c r="F11" s="11">
        <v>959</v>
      </c>
      <c r="G11" s="101">
        <v>1565</v>
      </c>
      <c r="H11" s="77">
        <v>577</v>
      </c>
      <c r="I11" s="19">
        <f>3008+1799</f>
        <v>4807</v>
      </c>
      <c r="J11" s="110">
        <v>2049</v>
      </c>
      <c r="K11" s="105">
        <v>1633</v>
      </c>
      <c r="L11" s="4">
        <v>9554</v>
      </c>
      <c r="M11" s="105">
        <v>3768</v>
      </c>
    </row>
    <row r="12" spans="2:13" x14ac:dyDescent="0.3">
      <c r="C12" s="4">
        <v>5263</v>
      </c>
      <c r="D12" s="19">
        <v>5437</v>
      </c>
      <c r="E12" s="4">
        <v>943</v>
      </c>
      <c r="F12" s="11">
        <v>949</v>
      </c>
      <c r="G12" s="101">
        <v>1583</v>
      </c>
      <c r="H12" s="77">
        <v>600</v>
      </c>
      <c r="I12" s="19">
        <f>393+3922</f>
        <v>4315</v>
      </c>
      <c r="J12" s="110">
        <v>2023</v>
      </c>
      <c r="K12" s="105">
        <v>1614</v>
      </c>
      <c r="L12" s="4">
        <v>9598</v>
      </c>
      <c r="M12" s="105">
        <v>3672</v>
      </c>
    </row>
    <row r="13" spans="2:13" x14ac:dyDescent="0.3">
      <c r="C13" s="4">
        <v>5562</v>
      </c>
      <c r="D13" s="19">
        <v>5279</v>
      </c>
      <c r="E13" s="4">
        <v>970</v>
      </c>
      <c r="F13" s="11">
        <v>961</v>
      </c>
      <c r="G13" s="101">
        <v>1584</v>
      </c>
      <c r="H13" s="77">
        <v>637</v>
      </c>
      <c r="I13" s="19">
        <f>1719+3084</f>
        <v>4803</v>
      </c>
      <c r="J13" s="110">
        <v>1997</v>
      </c>
      <c r="K13" s="105">
        <v>1619</v>
      </c>
      <c r="L13" s="4">
        <v>10118</v>
      </c>
      <c r="M13" s="105">
        <v>3744</v>
      </c>
    </row>
    <row r="14" spans="2:13" x14ac:dyDescent="0.3">
      <c r="C14" s="4">
        <v>5453</v>
      </c>
      <c r="D14" s="19">
        <v>5289</v>
      </c>
      <c r="E14" s="4">
        <v>966</v>
      </c>
      <c r="F14" s="11">
        <v>958</v>
      </c>
      <c r="G14" s="101">
        <v>1578</v>
      </c>
      <c r="H14" s="77">
        <v>594</v>
      </c>
      <c r="I14" s="19">
        <f>1214+3881</f>
        <v>5095</v>
      </c>
      <c r="J14" s="110">
        <v>2006</v>
      </c>
      <c r="K14" s="105">
        <v>1632</v>
      </c>
      <c r="L14" s="4">
        <v>9654</v>
      </c>
      <c r="M14" s="105">
        <v>3846</v>
      </c>
    </row>
    <row r="15" spans="2:13" x14ac:dyDescent="0.3">
      <c r="C15" s="4">
        <v>5528</v>
      </c>
      <c r="D15" s="19">
        <v>5547</v>
      </c>
      <c r="E15" s="4">
        <v>992</v>
      </c>
      <c r="F15" s="11">
        <v>935</v>
      </c>
      <c r="G15" s="101">
        <v>1546</v>
      </c>
      <c r="H15" s="77">
        <v>610</v>
      </c>
      <c r="I15" s="19">
        <f>3659+1097</f>
        <v>4756</v>
      </c>
      <c r="J15" s="110">
        <v>2044</v>
      </c>
      <c r="K15" s="105">
        <v>1661</v>
      </c>
      <c r="L15" s="4">
        <v>9666</v>
      </c>
      <c r="M15" s="105">
        <v>3699</v>
      </c>
    </row>
    <row r="16" spans="2:13" x14ac:dyDescent="0.3">
      <c r="C16" s="4">
        <v>5445</v>
      </c>
      <c r="D16" s="19">
        <v>5503</v>
      </c>
      <c r="E16" s="4">
        <v>973</v>
      </c>
      <c r="F16" s="11">
        <v>995</v>
      </c>
      <c r="G16" s="101">
        <v>1564</v>
      </c>
      <c r="H16" s="77">
        <v>629</v>
      </c>
      <c r="I16" s="19">
        <f>2973+2019</f>
        <v>4992</v>
      </c>
      <c r="J16" s="110">
        <v>2047</v>
      </c>
      <c r="K16" s="105">
        <v>1687</v>
      </c>
      <c r="L16" s="4">
        <v>9573</v>
      </c>
      <c r="M16" s="105">
        <v>3816</v>
      </c>
    </row>
    <row r="17" spans="2:18" x14ac:dyDescent="0.3">
      <c r="C17" s="4">
        <v>5475</v>
      </c>
      <c r="D17" s="19">
        <v>5426</v>
      </c>
      <c r="E17" s="4">
        <v>953</v>
      </c>
      <c r="F17" s="11">
        <v>994</v>
      </c>
      <c r="G17" s="101">
        <v>1573</v>
      </c>
      <c r="H17" s="77">
        <v>618</v>
      </c>
      <c r="I17" s="19">
        <f>600+4146</f>
        <v>4746</v>
      </c>
      <c r="J17" s="110">
        <v>2092</v>
      </c>
      <c r="K17" s="105">
        <v>1581</v>
      </c>
      <c r="L17" s="4">
        <v>9759</v>
      </c>
      <c r="M17" s="105">
        <v>3597</v>
      </c>
    </row>
    <row r="18" spans="2:18" x14ac:dyDescent="0.3">
      <c r="C18" s="4">
        <v>5306</v>
      </c>
      <c r="D18" s="19">
        <v>5417</v>
      </c>
      <c r="E18" s="4">
        <v>977</v>
      </c>
      <c r="F18" s="11">
        <v>946</v>
      </c>
      <c r="G18" s="101">
        <v>1607</v>
      </c>
      <c r="H18" s="77">
        <v>610</v>
      </c>
      <c r="I18" s="19">
        <f>3097+1831</f>
        <v>4928</v>
      </c>
      <c r="J18" s="110">
        <v>1965</v>
      </c>
      <c r="K18" s="105">
        <v>1984</v>
      </c>
      <c r="L18" s="4">
        <v>9884</v>
      </c>
      <c r="M18" s="105">
        <v>3726</v>
      </c>
    </row>
    <row r="19" spans="2:18" x14ac:dyDescent="0.3">
      <c r="C19" s="4">
        <v>5327</v>
      </c>
      <c r="D19" s="19">
        <v>5406</v>
      </c>
      <c r="E19" s="4">
        <v>1008</v>
      </c>
      <c r="F19" s="11">
        <v>945</v>
      </c>
      <c r="G19" s="101">
        <v>1516</v>
      </c>
      <c r="H19" s="77">
        <v>613</v>
      </c>
      <c r="I19" s="19">
        <f>3349+1720</f>
        <v>5069</v>
      </c>
      <c r="J19" s="110">
        <v>2095</v>
      </c>
      <c r="K19" s="105">
        <v>1970</v>
      </c>
      <c r="L19" s="4">
        <v>9634</v>
      </c>
      <c r="M19" s="105">
        <v>3711</v>
      </c>
    </row>
    <row r="20" spans="2:18" x14ac:dyDescent="0.3">
      <c r="B20" s="53">
        <v>5287</v>
      </c>
      <c r="C20" s="4">
        <v>5449</v>
      </c>
      <c r="D20" s="19">
        <v>5384</v>
      </c>
      <c r="E20" s="4">
        <v>936</v>
      </c>
      <c r="F20" s="11">
        <v>981</v>
      </c>
      <c r="G20" s="101">
        <v>1541</v>
      </c>
      <c r="H20" s="77">
        <v>630</v>
      </c>
      <c r="I20" s="19">
        <f>1569+3283</f>
        <v>4852</v>
      </c>
      <c r="J20" s="110">
        <v>1992</v>
      </c>
      <c r="K20" s="105">
        <v>1623</v>
      </c>
      <c r="L20" s="4">
        <v>9712</v>
      </c>
      <c r="M20" s="105">
        <v>3732</v>
      </c>
    </row>
    <row r="21" spans="2:18" x14ac:dyDescent="0.3">
      <c r="B21" s="53">
        <v>961</v>
      </c>
      <c r="C21" s="4">
        <v>5432</v>
      </c>
      <c r="D21" s="19">
        <v>5195</v>
      </c>
      <c r="E21" s="4">
        <v>992</v>
      </c>
      <c r="F21" s="11">
        <v>960</v>
      </c>
      <c r="G21" s="101">
        <v>1566</v>
      </c>
      <c r="H21" s="77">
        <v>636</v>
      </c>
      <c r="I21" s="19">
        <f>3174+1707</f>
        <v>4881</v>
      </c>
      <c r="J21" s="110">
        <v>2045</v>
      </c>
      <c r="K21" s="105">
        <v>1632</v>
      </c>
      <c r="L21" s="4">
        <v>9447</v>
      </c>
      <c r="M21" s="105">
        <v>3699</v>
      </c>
    </row>
    <row r="22" spans="2:18" x14ac:dyDescent="0.3">
      <c r="C22" s="4">
        <v>5275</v>
      </c>
      <c r="D22" s="19">
        <v>5386</v>
      </c>
      <c r="E22" s="4">
        <v>972</v>
      </c>
      <c r="F22" s="11">
        <v>958</v>
      </c>
      <c r="G22" s="101">
        <v>1607</v>
      </c>
      <c r="H22" s="77">
        <v>635</v>
      </c>
      <c r="I22" s="19">
        <f>3643+1220</f>
        <v>4863</v>
      </c>
      <c r="J22" s="110">
        <v>2035</v>
      </c>
      <c r="K22" s="105">
        <v>1705</v>
      </c>
      <c r="L22" s="4">
        <v>10070</v>
      </c>
      <c r="M22" s="105">
        <v>3798</v>
      </c>
      <c r="N22" s="72" t="s">
        <v>102</v>
      </c>
      <c r="O22" s="72"/>
    </row>
    <row r="23" spans="2:18" x14ac:dyDescent="0.3">
      <c r="C23" s="4">
        <v>5188</v>
      </c>
      <c r="D23" s="19">
        <v>5479</v>
      </c>
      <c r="E23" s="4">
        <v>973</v>
      </c>
      <c r="F23" s="11">
        <v>962</v>
      </c>
      <c r="G23" s="101">
        <v>1602</v>
      </c>
      <c r="H23" s="77">
        <v>609</v>
      </c>
      <c r="I23" s="19">
        <f>3850+881</f>
        <v>4731</v>
      </c>
      <c r="J23" s="110">
        <v>2044</v>
      </c>
      <c r="K23" s="105">
        <v>1662</v>
      </c>
      <c r="L23" s="4">
        <v>9650</v>
      </c>
      <c r="M23" s="105">
        <v>3516</v>
      </c>
      <c r="N23" s="72"/>
      <c r="O23" s="72"/>
    </row>
    <row r="24" spans="2:18" x14ac:dyDescent="0.3">
      <c r="C24" s="4">
        <v>5745</v>
      </c>
      <c r="D24" s="20">
        <v>5458</v>
      </c>
      <c r="E24" s="5">
        <v>961</v>
      </c>
      <c r="F24" s="55">
        <v>965</v>
      </c>
      <c r="G24" s="102">
        <v>1569</v>
      </c>
      <c r="H24" s="92">
        <v>598</v>
      </c>
      <c r="I24" s="20">
        <f>2717+1987</f>
        <v>4704</v>
      </c>
      <c r="J24" s="110">
        <v>2035</v>
      </c>
      <c r="K24" s="79">
        <v>1646</v>
      </c>
      <c r="L24" s="4">
        <v>9346</v>
      </c>
      <c r="M24" s="105">
        <v>3714</v>
      </c>
      <c r="N24" s="72"/>
      <c r="O24" s="72"/>
    </row>
    <row r="25" spans="2:18" x14ac:dyDescent="0.3">
      <c r="B25" s="96" t="s">
        <v>81</v>
      </c>
      <c r="C25" s="83">
        <f>AVERAGE(C7:D24)</f>
        <v>5425.1944444444443</v>
      </c>
      <c r="D25" s="84"/>
      <c r="E25" s="83">
        <f>AVERAGE(E7:F24)</f>
        <v>968.27777777777783</v>
      </c>
      <c r="F25" s="84"/>
      <c r="G25" s="13">
        <f>AVERAGE(G7:G24)</f>
        <v>1565.3333333333333</v>
      </c>
      <c r="H25" s="6">
        <f>AVERAGE(H7:H24)*2</f>
        <v>1225.6666666666667</v>
      </c>
      <c r="I25" s="13">
        <f t="shared" ref="I25" si="0">AVERAGE(I7:I24)</f>
        <v>4848.4444444444443</v>
      </c>
      <c r="J25" s="111">
        <v>1984</v>
      </c>
      <c r="K25" s="39">
        <f>AVERAGE(K7:K24)</f>
        <v>1678.5555555555557</v>
      </c>
      <c r="L25" s="5">
        <v>9548</v>
      </c>
      <c r="M25" s="105">
        <v>3636</v>
      </c>
      <c r="N25" s="72"/>
      <c r="O25" s="72"/>
    </row>
    <row r="26" spans="2:18" ht="16.5" customHeight="1" x14ac:dyDescent="0.3">
      <c r="B26" s="85" t="s">
        <v>17</v>
      </c>
      <c r="C26" s="83">
        <f>AVERAGE(C25,D25)/1.052</f>
        <v>5157.0289395859736</v>
      </c>
      <c r="D26" s="84"/>
      <c r="E26" s="75">
        <f>E25/1.052</f>
        <v>920.41613857203208</v>
      </c>
      <c r="F26" s="76"/>
      <c r="G26" s="39">
        <f>G25/1.052</f>
        <v>1487.9594423320657</v>
      </c>
      <c r="H26" s="6">
        <f>H25/1.052</f>
        <v>1165.0823827629911</v>
      </c>
      <c r="I26" s="25">
        <f>I25/1.052</f>
        <v>4608.787494719053</v>
      </c>
      <c r="J26" s="80" t="s">
        <v>100</v>
      </c>
      <c r="K26" s="39">
        <f>K25/1.052</f>
        <v>1595.5851288550909</v>
      </c>
      <c r="L26" s="39">
        <f>AVERAGE(L7:L25)</f>
        <v>9703.8421052631584</v>
      </c>
      <c r="M26" s="52" t="s">
        <v>92</v>
      </c>
      <c r="N26" s="72"/>
      <c r="O26" s="72"/>
    </row>
    <row r="27" spans="2:18" x14ac:dyDescent="0.3">
      <c r="B27" s="24" t="s">
        <v>82</v>
      </c>
      <c r="C27" s="104">
        <f>C26*(100+G2)/100</f>
        <v>5157.0289395859736</v>
      </c>
      <c r="D27" s="104"/>
      <c r="E27" s="104">
        <f>E26*(100+G2)/100</f>
        <v>920.41613857203208</v>
      </c>
      <c r="F27" s="104"/>
      <c r="G27" s="39">
        <f>G26*(100+G2)/100</f>
        <v>1487.9594423320657</v>
      </c>
      <c r="H27" s="104">
        <f>(H26+I26)*(100+G2)/100</f>
        <v>5773.8698774820441</v>
      </c>
      <c r="I27" s="104"/>
      <c r="J27" s="80">
        <f>AVERAGE(J7:J25)*3</f>
        <v>6078.7894736842109</v>
      </c>
      <c r="K27" s="123">
        <f>K26*(100+G2)/100</f>
        <v>1595.5851288550909</v>
      </c>
      <c r="M27" s="39">
        <f>AVERAGE(M7:M25)/3</f>
        <v>1239.5263157894738</v>
      </c>
      <c r="N27" s="72"/>
      <c r="O27" s="72"/>
    </row>
    <row r="28" spans="2:18" x14ac:dyDescent="0.3">
      <c r="D28" s="51"/>
      <c r="E28" s="51"/>
      <c r="F28" s="51"/>
      <c r="G28" s="51" t="s">
        <v>108</v>
      </c>
      <c r="H28" s="2">
        <f>H26*(100+G2)/100</f>
        <v>1165.0823827629911</v>
      </c>
      <c r="I28" s="2">
        <f>I26*(100+G2)/100</f>
        <v>4608.787494719053</v>
      </c>
      <c r="J28" s="51"/>
      <c r="K28" s="52" t="s">
        <v>117</v>
      </c>
      <c r="L28" s="123">
        <f>L26/1.19</f>
        <v>8154.4891640866881</v>
      </c>
      <c r="N28" s="72"/>
      <c r="O28" s="72"/>
    </row>
    <row r="29" spans="2:18" x14ac:dyDescent="0.3">
      <c r="H29" s="66"/>
      <c r="I29" s="66"/>
      <c r="J29" s="66"/>
      <c r="K29" s="14"/>
      <c r="L29" s="69" t="s">
        <v>118</v>
      </c>
      <c r="M29" s="71"/>
      <c r="N29" s="14"/>
      <c r="O29" s="14"/>
      <c r="P29" s="14"/>
      <c r="Q29" s="14"/>
      <c r="R29" s="14"/>
    </row>
    <row r="30" spans="2:18" x14ac:dyDescent="0.3"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2" spans="2:18" ht="78" customHeight="1" x14ac:dyDescent="0.3">
      <c r="B32" s="74" t="s">
        <v>97</v>
      </c>
      <c r="C32" s="74"/>
      <c r="D32" s="74"/>
      <c r="E32" s="74"/>
      <c r="F32" s="74"/>
      <c r="G32" s="74"/>
      <c r="H32" s="74"/>
      <c r="I32" s="74"/>
      <c r="J32" s="45"/>
      <c r="K32" s="45"/>
      <c r="L32" s="72" t="s">
        <v>32</v>
      </c>
      <c r="M32" s="72"/>
      <c r="N32" s="72"/>
      <c r="O32" s="72"/>
    </row>
    <row r="33" spans="1:14" x14ac:dyDescent="0.3">
      <c r="B33" s="59" t="s">
        <v>36</v>
      </c>
      <c r="C33" s="59"/>
      <c r="D33" s="59"/>
      <c r="E33" s="42"/>
      <c r="F33" s="59" t="s">
        <v>93</v>
      </c>
      <c r="G33" s="59"/>
      <c r="H33" s="59"/>
    </row>
    <row r="34" spans="1:14" x14ac:dyDescent="0.3">
      <c r="B34" s="59"/>
      <c r="C34" s="59"/>
      <c r="D34" s="59"/>
      <c r="F34" s="59"/>
      <c r="G34" s="59"/>
      <c r="H34" s="59"/>
    </row>
    <row r="35" spans="1:14" ht="33" customHeight="1" x14ac:dyDescent="0.3">
      <c r="B35" s="8" t="s">
        <v>31</v>
      </c>
      <c r="C35" s="52" t="s">
        <v>11</v>
      </c>
      <c r="D35" s="52" t="s">
        <v>26</v>
      </c>
      <c r="F35" s="8" t="s">
        <v>31</v>
      </c>
      <c r="G35" s="52" t="s">
        <v>11</v>
      </c>
      <c r="H35" s="52" t="s">
        <v>26</v>
      </c>
    </row>
    <row r="36" spans="1:14" x14ac:dyDescent="0.3">
      <c r="A36" s="53" t="s">
        <v>94</v>
      </c>
      <c r="B36" s="38">
        <v>10</v>
      </c>
      <c r="C36" s="39">
        <f>E27*2*(B36+15)/100+E27*(85-B36)/100+C27*2*(15+B36)*1.4*1.5/100+C27*(85-B36)*1.4*1.5/100</f>
        <v>14687.72113962822</v>
      </c>
      <c r="D36" s="39">
        <f>E27*3*(B36+15)/100+E27*(85-B36)/100+C27*3*(15+B36)*1.5/100+C27*(85-B36)*1.5/100</f>
        <v>12983.939321926489</v>
      </c>
      <c r="E36" s="53" t="s">
        <v>94</v>
      </c>
      <c r="F36" s="38">
        <v>10</v>
      </c>
      <c r="G36" s="39">
        <f>E27*2*F36/100+E27*(100-F36)/100+C27*2*(F36)*1.4*1.5/100+C27*(100-F36)*1.4*1.5/100</f>
        <v>12925.194602872833</v>
      </c>
      <c r="H36" s="39">
        <f>E27*3*F36/100+E27*(100-F36)/100+C27*3*(F36)*1.5/100+C27*(100-F36)*1.5/100</f>
        <v>10387.151457541191</v>
      </c>
    </row>
    <row r="37" spans="1:14" x14ac:dyDescent="0.3">
      <c r="B37" s="38">
        <v>41</v>
      </c>
      <c r="C37" s="39">
        <f>E27*2*(B37+15)/100+E27*(85-B37)/100+C27*2*(15+B37)*1.4*1.5/100+C27*(85-B37)*1.4*1.5/100</f>
        <v>18330.275982256018</v>
      </c>
      <c r="D37" s="39">
        <f>E27*3*(B37+15)/100+E27*(85-B37)/100+C27*3*(15+B37)*1.5/100+C27*(85-B37)*1.5/100</f>
        <v>18350.634241656102</v>
      </c>
      <c r="F37" s="38">
        <v>40</v>
      </c>
      <c r="G37" s="39">
        <f>E27*2*F37/100+E27*(100-F37)/100+C27*2*(F37)*1.4*1.5/100+C27*(100-F37)*1.4*1.5/100</f>
        <v>16450.247676383606</v>
      </c>
      <c r="H37" s="39">
        <f>E27*3*F37/100+E27*(100-F37)/100+C27*3*(F37)*1.5/100+C27*(100-F37)*1.5/100</f>
        <v>15580.727186311788</v>
      </c>
    </row>
    <row r="38" spans="1:14" x14ac:dyDescent="0.3">
      <c r="B38" s="38">
        <v>70</v>
      </c>
      <c r="C38" s="39">
        <f>E27*2*(B38+15)/100+E27*(85-B38)/100+C27*2*(15+B38)*1.4*1.5/100+C27*(85-B38)*1.4*1.5/100</f>
        <v>21737.827286649768</v>
      </c>
      <c r="D38" s="39">
        <f>E27*3*(B38+15)/100+E27*(85-B38)/100+C27*3*(15+B38)*1.5/100+C27*(85-B38)*1.5/100</f>
        <v>23371.090779467679</v>
      </c>
      <c r="F38" s="38">
        <v>70</v>
      </c>
      <c r="G38" s="39">
        <f>E27*2*F38/100+E27*(100-F38)/100+C27*2*(F38)*1.4*1.5/100+C27*(100-F38)*1.4*1.5/100</f>
        <v>19975.300749894381</v>
      </c>
      <c r="H38" s="39">
        <f>E27*3*F37/100+E27*(100-F38)/100+C27*3*(F38)*1.5/100+C27*(100-F38)*1.5/100</f>
        <v>19945.928390367557</v>
      </c>
    </row>
    <row r="39" spans="1:14" x14ac:dyDescent="0.3">
      <c r="B39" s="57"/>
      <c r="C39" s="41"/>
      <c r="D39" s="58"/>
      <c r="F39" s="57"/>
      <c r="G39" s="41"/>
      <c r="H39" s="58"/>
    </row>
    <row r="40" spans="1:14" x14ac:dyDescent="0.3">
      <c r="B40" s="77"/>
      <c r="C40" s="108"/>
      <c r="D40" s="77"/>
      <c r="F40" s="77"/>
      <c r="G40" s="108"/>
      <c r="H40" s="77"/>
      <c r="I40" s="77"/>
      <c r="K40" s="77"/>
      <c r="L40" s="108"/>
      <c r="M40" s="77"/>
      <c r="N40" s="77"/>
    </row>
    <row r="41" spans="1:14" x14ac:dyDescent="0.3">
      <c r="B41" s="59" t="s">
        <v>39</v>
      </c>
      <c r="C41" s="59"/>
      <c r="D41" s="59"/>
      <c r="E41" s="59"/>
      <c r="F41" s="77"/>
      <c r="G41" s="59" t="s">
        <v>43</v>
      </c>
      <c r="H41" s="59"/>
      <c r="I41" s="59"/>
      <c r="J41" s="59"/>
      <c r="K41" s="77"/>
      <c r="L41" s="108"/>
      <c r="M41" s="77"/>
      <c r="N41" s="77"/>
    </row>
    <row r="42" spans="1:14" x14ac:dyDescent="0.3">
      <c r="B42" s="59"/>
      <c r="C42" s="59"/>
      <c r="D42" s="59"/>
      <c r="E42" s="59"/>
      <c r="F42" s="77"/>
      <c r="G42" s="59"/>
      <c r="H42" s="59"/>
      <c r="I42" s="59"/>
      <c r="J42" s="59"/>
      <c r="K42" s="77"/>
      <c r="L42" s="108"/>
      <c r="M42" s="77"/>
      <c r="N42" s="77"/>
    </row>
    <row r="43" spans="1:14" ht="33" x14ac:dyDescent="0.3">
      <c r="B43" s="8" t="s">
        <v>31</v>
      </c>
      <c r="C43" s="52" t="s">
        <v>40</v>
      </c>
      <c r="D43" s="52" t="s">
        <v>41</v>
      </c>
      <c r="E43" s="52" t="s">
        <v>26</v>
      </c>
      <c r="F43" s="77"/>
      <c r="G43" s="8" t="s">
        <v>44</v>
      </c>
      <c r="H43" s="52" t="s">
        <v>40</v>
      </c>
      <c r="I43" s="52" t="s">
        <v>41</v>
      </c>
      <c r="J43" s="52" t="s">
        <v>26</v>
      </c>
      <c r="K43" s="77"/>
      <c r="L43" s="108"/>
      <c r="M43" s="77"/>
      <c r="N43" s="77"/>
    </row>
    <row r="44" spans="1:14" x14ac:dyDescent="0.3">
      <c r="A44" s="53" t="s">
        <v>95</v>
      </c>
      <c r="B44" s="38">
        <v>10</v>
      </c>
      <c r="C44" s="39">
        <f>G27*2*2*(20+B44)/100+G27*2*(80-B44)/100+C27*2.8*(20+B44)/100+C27*(80-B44)/100</f>
        <v>11810.519117025771</v>
      </c>
      <c r="D44" s="39">
        <f>G27*2*2*(20+B44)/100+G27*2*(80-B44)/100+C27*2*(20+B44)/100+C27*(80-B44)/100</f>
        <v>10572.832171525137</v>
      </c>
      <c r="E44" s="39">
        <f>D44*1.25</f>
        <v>13216.040214406421</v>
      </c>
      <c r="F44" s="77" t="s">
        <v>96</v>
      </c>
      <c r="G44" s="38">
        <v>10</v>
      </c>
      <c r="H44" s="39">
        <f>G27*2*(20+G44)/100+G27*(80-G44)/100+C27*2.8*(20+G44)*2/100+C27*(80-G44)*2/100</f>
        <v>17817.996408956486</v>
      </c>
      <c r="I44" s="39">
        <f>G27*2*(20+G44)/100+G27*(80-G44)/100+C27*2*(20+G44)*2/100+C27*(80-G44)*2/100</f>
        <v>15342.622517955217</v>
      </c>
      <c r="J44" s="39">
        <f>I44*1.25</f>
        <v>19178.27814744402</v>
      </c>
      <c r="K44" s="77"/>
      <c r="L44" s="108"/>
      <c r="M44" s="77"/>
      <c r="N44" s="77"/>
    </row>
    <row r="45" spans="1:14" x14ac:dyDescent="0.3">
      <c r="B45" s="38">
        <v>40</v>
      </c>
      <c r="C45" s="39">
        <f>G27*2*2*(20+B45)/100+G27*2*(80-B45)/100+C27*2.8*(20+B45)/100+C27*(80-B45)/100</f>
        <v>15488.090409801436</v>
      </c>
      <c r="D45" s="39">
        <f>G27*2*2*(20+B45)/100+G27*2*(80-B45)/100+C27*2*(20+B45)/100+C27*(80-B45)/100</f>
        <v>13012.716518800167</v>
      </c>
      <c r="E45" s="39">
        <f>D45*1.25</f>
        <v>16265.895648500209</v>
      </c>
      <c r="F45" s="77"/>
      <c r="G45" s="38">
        <v>40</v>
      </c>
      <c r="H45" s="39">
        <f>G27*2*(20+G45)/100+G27*(80-G45)/100+C27*2.8*(20+G45)*2/100+C27*(80-G45)*2/100</f>
        <v>23833.975496408952</v>
      </c>
      <c r="I45" s="39">
        <f>G27*2*(20+G45)/100+G27*(80-G45)/100+C27*2*(20+G45)*2/100+C27*(80-G45)*2/100</f>
        <v>18883.227714406421</v>
      </c>
      <c r="J45" s="39">
        <f>I45*1.25</f>
        <v>23604.034643008024</v>
      </c>
      <c r="K45" s="77"/>
      <c r="L45" s="108"/>
      <c r="M45" s="77"/>
      <c r="N45" s="77"/>
    </row>
    <row r="46" spans="1:14" x14ac:dyDescent="0.3">
      <c r="B46" s="38">
        <v>70</v>
      </c>
      <c r="C46" s="39">
        <f>G27*2*2*(20+B46)/100+G27*2*(80-B46)/100+C27*2.8*(20+B46)/100+C27*(80-B46)/100</f>
        <v>19165.661702577101</v>
      </c>
      <c r="D46" s="39">
        <f>G27*2*2*(20+B46)/100+G27*2*(80-B46)/100+C27*2*(20+B46)/100+C27*(80-B46)/100</f>
        <v>15452.600866075201</v>
      </c>
      <c r="E46" s="39">
        <f>D46*1.25</f>
        <v>19315.751082594001</v>
      </c>
      <c r="G46" s="38">
        <v>70</v>
      </c>
      <c r="H46" s="39">
        <f>G27*2*(20+G46)/100+G27*(80-G46)/100+C27*2.8*(20+G46)*2/100+C27*(80-G46)*2/100</f>
        <v>29849.954583861429</v>
      </c>
      <c r="I46" s="39">
        <f>G27*2*(20+G46)/100+G27*(80-G46)/100+C27*2*(20+G46)*2/100+C27*(80-G46)*2/100</f>
        <v>22423.832910857625</v>
      </c>
      <c r="J46" s="39">
        <f>I46*1.25</f>
        <v>28029.791138572033</v>
      </c>
    </row>
    <row r="47" spans="1:14" x14ac:dyDescent="0.3">
      <c r="B47" s="52"/>
      <c r="C47" s="40"/>
      <c r="D47" s="52"/>
      <c r="E47" s="52"/>
      <c r="G47" s="52"/>
      <c r="H47" s="40"/>
      <c r="I47" s="52"/>
      <c r="J47" s="52"/>
    </row>
    <row r="49" spans="1:40" ht="16.5" customHeight="1" x14ac:dyDescent="0.3">
      <c r="B49" s="59" t="s">
        <v>103</v>
      </c>
      <c r="C49" s="59"/>
      <c r="D49" s="59"/>
      <c r="E49" s="106" t="s">
        <v>105</v>
      </c>
      <c r="F49" s="74"/>
      <c r="G49" s="74"/>
      <c r="H49" s="74"/>
      <c r="I49" s="74"/>
      <c r="J49" s="74"/>
      <c r="K49" s="74"/>
      <c r="L49" s="74"/>
      <c r="M49" s="74"/>
    </row>
    <row r="50" spans="1:40" x14ac:dyDescent="0.3">
      <c r="A50" s="77"/>
      <c r="B50" s="59"/>
      <c r="C50" s="59"/>
      <c r="D50" s="59"/>
      <c r="E50" s="106"/>
      <c r="F50" s="74"/>
      <c r="G50" s="74"/>
      <c r="H50" s="74"/>
      <c r="I50" s="74"/>
      <c r="J50" s="74"/>
      <c r="K50" s="74"/>
      <c r="L50" s="74"/>
      <c r="M50" s="74"/>
      <c r="N50" s="66" t="s">
        <v>78</v>
      </c>
      <c r="O50" s="66"/>
    </row>
    <row r="51" spans="1:40" x14ac:dyDescent="0.3">
      <c r="A51" s="77"/>
      <c r="B51" s="8" t="s">
        <v>31</v>
      </c>
      <c r="C51" s="52" t="s">
        <v>104</v>
      </c>
      <c r="D51" s="52" t="s">
        <v>26</v>
      </c>
      <c r="E51" s="106"/>
      <c r="F51" s="74"/>
      <c r="G51" s="74"/>
      <c r="H51" s="74"/>
      <c r="I51" s="74"/>
      <c r="J51" s="74"/>
      <c r="K51" s="74"/>
      <c r="L51" s="74"/>
      <c r="M51" s="74"/>
    </row>
    <row r="52" spans="1:40" x14ac:dyDescent="0.3">
      <c r="A52" s="77" t="s">
        <v>94</v>
      </c>
      <c r="B52" s="38">
        <v>10</v>
      </c>
      <c r="C52" s="39">
        <f>K27*2*2*B52/100+K27*2*(100-B52)/100+C27*2*B52/100+C27*(100-B52)/100</f>
        <v>9183.0191170257713</v>
      </c>
      <c r="D52" s="39">
        <f>(K27*2*2*B52/100+K27*2*(100-B52)/100+C27*2*B52/100+C27*(100-B52)/100)*1.44</f>
        <v>13223.547528517111</v>
      </c>
      <c r="E52" s="106"/>
      <c r="F52" s="74"/>
      <c r="G52" s="74"/>
      <c r="H52" s="74"/>
      <c r="I52" s="74"/>
      <c r="J52" s="74"/>
      <c r="K52" s="74"/>
      <c r="L52" s="74"/>
      <c r="M52" s="74"/>
      <c r="N52" s="30">
        <v>211</v>
      </c>
      <c r="O52" s="31">
        <v>338</v>
      </c>
      <c r="P52" s="31">
        <v>657</v>
      </c>
      <c r="Q52" s="31">
        <v>328</v>
      </c>
      <c r="R52" s="31">
        <v>267</v>
      </c>
      <c r="S52" s="31">
        <v>676</v>
      </c>
      <c r="T52" s="31">
        <v>635</v>
      </c>
      <c r="U52" s="18">
        <v>576</v>
      </c>
      <c r="V52" s="53">
        <v>121</v>
      </c>
      <c r="W52" s="53">
        <v>513</v>
      </c>
      <c r="X52" s="53">
        <v>513</v>
      </c>
      <c r="Y52" s="53">
        <v>518</v>
      </c>
      <c r="Z52" s="53">
        <v>533</v>
      </c>
      <c r="AA52" s="53">
        <v>276</v>
      </c>
      <c r="AB52" s="53">
        <v>354</v>
      </c>
      <c r="AC52" s="53">
        <v>685</v>
      </c>
      <c r="AD52" s="53">
        <v>110</v>
      </c>
      <c r="AE52" s="53">
        <v>609</v>
      </c>
      <c r="AF52" s="53">
        <v>284</v>
      </c>
      <c r="AG52" s="53">
        <v>404</v>
      </c>
      <c r="AH52" s="53">
        <v>324</v>
      </c>
      <c r="AI52" s="53">
        <v>592</v>
      </c>
      <c r="AJ52" s="53">
        <v>137</v>
      </c>
      <c r="AK52" s="53">
        <v>407</v>
      </c>
      <c r="AL52" s="53">
        <v>253</v>
      </c>
      <c r="AM52" s="53">
        <v>679</v>
      </c>
      <c r="AN52" s="53">
        <v>143</v>
      </c>
    </row>
    <row r="53" spans="1:40" x14ac:dyDescent="0.3">
      <c r="A53" s="77"/>
      <c r="B53" s="38">
        <v>40</v>
      </c>
      <c r="C53" s="39">
        <f>K27*2*2*B53/100+K27*2*(100-B53)/100+C27*2*B53/100+C27*(100-B53)/100</f>
        <v>11687.478876214616</v>
      </c>
      <c r="D53" s="39">
        <f>(K27*2*2*B53/100+K27*2*(100-B53)/100+C27*2*B53/100+C27*(100-B53)/100)*1.44</f>
        <v>16829.969581749046</v>
      </c>
      <c r="E53" s="106"/>
      <c r="F53" s="74"/>
      <c r="G53" s="74"/>
      <c r="H53" s="74"/>
      <c r="I53" s="74"/>
      <c r="J53" s="74"/>
      <c r="K53" s="74"/>
      <c r="L53" s="74"/>
      <c r="M53" s="74"/>
      <c r="N53" s="32">
        <v>567</v>
      </c>
      <c r="O53" s="33">
        <v>460</v>
      </c>
      <c r="P53" s="33">
        <v>147</v>
      </c>
      <c r="Q53" s="33">
        <v>496</v>
      </c>
      <c r="R53" s="33">
        <v>517</v>
      </c>
      <c r="S53" s="33">
        <v>92</v>
      </c>
      <c r="T53" s="33">
        <v>414</v>
      </c>
      <c r="U53" s="19">
        <v>222</v>
      </c>
      <c r="V53" s="53">
        <v>657</v>
      </c>
      <c r="W53" s="53">
        <v>257</v>
      </c>
      <c r="X53" s="53">
        <v>276</v>
      </c>
      <c r="Y53" s="53">
        <v>240</v>
      </c>
      <c r="Z53" s="53">
        <v>250</v>
      </c>
      <c r="AA53" s="53">
        <v>517</v>
      </c>
      <c r="AB53" s="53">
        <v>390</v>
      </c>
      <c r="AC53" s="53">
        <v>103</v>
      </c>
      <c r="AD53" s="53">
        <v>664</v>
      </c>
      <c r="AE53" s="53">
        <v>173</v>
      </c>
      <c r="AF53" s="53">
        <v>503</v>
      </c>
      <c r="AG53" s="53">
        <v>401</v>
      </c>
      <c r="AH53" s="53">
        <v>434</v>
      </c>
      <c r="AI53" s="53">
        <v>179</v>
      </c>
      <c r="AJ53" s="53">
        <v>645</v>
      </c>
      <c r="AK53" s="53">
        <v>405</v>
      </c>
      <c r="AL53" s="53">
        <v>549</v>
      </c>
      <c r="AM53" s="53">
        <v>106</v>
      </c>
      <c r="AN53" s="53">
        <v>635</v>
      </c>
    </row>
    <row r="54" spans="1:40" x14ac:dyDescent="0.3">
      <c r="A54" s="77"/>
      <c r="B54" s="38">
        <v>70</v>
      </c>
      <c r="C54" s="39">
        <f>K27*2*2*B54/100+K27*2*(100-B54)/100+C27*2*B54/100+C27*(100-B54)/100</f>
        <v>14191.938635403465</v>
      </c>
      <c r="D54" s="39">
        <f>(K27*2*2*B54/100+K27*2*(100-B54)/100+C27*2*B54/100+C27*(100-B54)/100)*1.44</f>
        <v>20436.391634980988</v>
      </c>
      <c r="E54" s="106"/>
      <c r="F54" s="74"/>
      <c r="G54" s="74"/>
      <c r="H54" s="74"/>
      <c r="I54" s="74"/>
      <c r="J54" s="74"/>
      <c r="K54" s="74"/>
      <c r="L54" s="74"/>
      <c r="M54" s="74"/>
      <c r="N54" s="32">
        <v>388</v>
      </c>
      <c r="O54" s="33">
        <v>401</v>
      </c>
      <c r="P54" s="33">
        <v>405</v>
      </c>
      <c r="Q54" s="33">
        <v>414</v>
      </c>
      <c r="R54" s="33">
        <v>391</v>
      </c>
      <c r="S54" s="33">
        <v>385</v>
      </c>
      <c r="T54" s="33">
        <v>416</v>
      </c>
      <c r="U54" s="19">
        <v>402</v>
      </c>
      <c r="V54" s="53">
        <v>397</v>
      </c>
      <c r="W54" s="53">
        <v>357</v>
      </c>
      <c r="X54" s="53">
        <v>398</v>
      </c>
      <c r="Y54" s="53">
        <v>379</v>
      </c>
      <c r="Z54" s="53">
        <v>391</v>
      </c>
      <c r="AA54" s="53">
        <v>395</v>
      </c>
      <c r="AB54" s="53">
        <v>452</v>
      </c>
      <c r="AC54" s="53">
        <v>394</v>
      </c>
      <c r="AD54" s="53">
        <v>386</v>
      </c>
      <c r="AE54" s="53">
        <v>391</v>
      </c>
      <c r="AF54" s="53">
        <v>393</v>
      </c>
      <c r="AG54" s="53">
        <v>401</v>
      </c>
      <c r="AH54" s="53">
        <v>379</v>
      </c>
      <c r="AI54" s="53">
        <v>385</v>
      </c>
      <c r="AJ54" s="53">
        <v>393</v>
      </c>
      <c r="AK54" s="53">
        <v>409</v>
      </c>
      <c r="AL54" s="53">
        <v>400</v>
      </c>
      <c r="AM54" s="53">
        <v>392</v>
      </c>
      <c r="AN54" s="53">
        <v>398</v>
      </c>
    </row>
    <row r="55" spans="1:40" x14ac:dyDescent="0.3">
      <c r="A55" s="77"/>
      <c r="B55" s="57"/>
      <c r="C55" s="41"/>
      <c r="D55" s="58"/>
      <c r="E55" s="106"/>
      <c r="F55" s="74"/>
      <c r="G55" s="74"/>
      <c r="H55" s="74"/>
      <c r="I55" s="74"/>
      <c r="J55" s="74"/>
      <c r="K55" s="74"/>
      <c r="L55" s="74"/>
      <c r="M55" s="74"/>
      <c r="N55" s="32">
        <v>388</v>
      </c>
      <c r="O55" s="33">
        <v>399</v>
      </c>
      <c r="P55" s="33">
        <v>402</v>
      </c>
      <c r="Q55" s="33">
        <v>412</v>
      </c>
      <c r="R55" s="33">
        <v>391</v>
      </c>
      <c r="S55" s="33">
        <v>331</v>
      </c>
      <c r="T55" s="33">
        <v>193</v>
      </c>
      <c r="U55" s="19">
        <v>399</v>
      </c>
      <c r="V55" s="53">
        <v>389</v>
      </c>
      <c r="W55" s="53">
        <v>385</v>
      </c>
      <c r="X55" s="53">
        <v>396</v>
      </c>
      <c r="Y55" s="53">
        <v>379</v>
      </c>
      <c r="Z55" s="53">
        <v>391</v>
      </c>
      <c r="AA55" s="53">
        <v>395</v>
      </c>
      <c r="AB55" s="53">
        <v>388</v>
      </c>
      <c r="AC55" s="53">
        <v>396</v>
      </c>
      <c r="AD55" s="53">
        <v>386</v>
      </c>
      <c r="AE55" s="53">
        <v>391</v>
      </c>
      <c r="AF55" s="53">
        <v>393</v>
      </c>
      <c r="AG55" s="53">
        <v>401</v>
      </c>
      <c r="AH55" s="53">
        <v>379</v>
      </c>
      <c r="AI55" s="53">
        <v>385</v>
      </c>
      <c r="AJ55" s="53">
        <v>391</v>
      </c>
      <c r="AK55" s="53">
        <v>406</v>
      </c>
      <c r="AL55" s="53">
        <v>400</v>
      </c>
      <c r="AM55" s="53">
        <v>392</v>
      </c>
      <c r="AN55" s="53">
        <v>389</v>
      </c>
    </row>
    <row r="56" spans="1:40" x14ac:dyDescent="0.3">
      <c r="A56" s="77"/>
      <c r="B56" s="77"/>
      <c r="C56" s="77"/>
      <c r="D56" s="77"/>
      <c r="E56" s="74"/>
      <c r="F56" s="115"/>
      <c r="G56" s="115"/>
      <c r="H56" s="115"/>
      <c r="I56" s="115"/>
      <c r="J56" s="115"/>
      <c r="K56" s="77"/>
      <c r="N56" s="32">
        <v>692</v>
      </c>
      <c r="O56" s="33">
        <v>396</v>
      </c>
      <c r="P56" s="33">
        <v>201</v>
      </c>
      <c r="Q56" s="33">
        <v>315</v>
      </c>
      <c r="R56" s="33">
        <v>107</v>
      </c>
      <c r="S56" s="33">
        <v>491</v>
      </c>
      <c r="T56" s="33">
        <v>620</v>
      </c>
      <c r="U56" s="19">
        <v>538</v>
      </c>
    </row>
    <row r="57" spans="1:40" x14ac:dyDescent="0.3">
      <c r="A57" s="77"/>
      <c r="B57" s="77"/>
      <c r="C57" s="77"/>
      <c r="D57" s="77"/>
      <c r="E57" s="115"/>
      <c r="F57" s="115"/>
      <c r="G57" s="115"/>
      <c r="H57" s="115"/>
      <c r="I57" s="115"/>
      <c r="J57" s="115"/>
      <c r="K57" s="77"/>
      <c r="N57" s="32">
        <v>412</v>
      </c>
      <c r="O57" s="33">
        <v>420</v>
      </c>
      <c r="P57" s="33">
        <v>605</v>
      </c>
      <c r="Q57" s="33">
        <v>505</v>
      </c>
      <c r="R57" s="33">
        <v>731</v>
      </c>
      <c r="S57" s="33">
        <v>412</v>
      </c>
      <c r="T57" s="33">
        <v>189</v>
      </c>
      <c r="U57" s="19">
        <v>275</v>
      </c>
    </row>
    <row r="58" spans="1:40" x14ac:dyDescent="0.3">
      <c r="A58" s="77"/>
      <c r="B58" s="77"/>
      <c r="C58" s="77"/>
      <c r="D58" s="77"/>
      <c r="E58" s="115"/>
      <c r="F58" s="115"/>
      <c r="G58" s="115"/>
      <c r="H58" s="115"/>
      <c r="I58" s="115"/>
      <c r="J58" s="115"/>
      <c r="K58" s="77"/>
      <c r="L58" s="53">
        <v>4252.3999999999996</v>
      </c>
      <c r="M58" s="53" t="s">
        <v>45</v>
      </c>
      <c r="N58" s="32">
        <v>126</v>
      </c>
      <c r="O58" s="33">
        <v>408</v>
      </c>
      <c r="P58" s="33">
        <v>406</v>
      </c>
      <c r="Q58" s="33">
        <v>410</v>
      </c>
      <c r="R58" s="33">
        <v>419</v>
      </c>
      <c r="S58" s="33">
        <v>411</v>
      </c>
      <c r="T58" s="33">
        <v>404</v>
      </c>
      <c r="U58" s="19">
        <v>405</v>
      </c>
    </row>
    <row r="59" spans="1:40" x14ac:dyDescent="0.3">
      <c r="A59" s="77"/>
      <c r="B59" s="77"/>
      <c r="C59" s="77"/>
      <c r="D59" s="77"/>
      <c r="E59" s="115"/>
      <c r="F59" s="115"/>
      <c r="G59" s="115"/>
      <c r="H59" s="115"/>
      <c r="I59" s="115"/>
      <c r="J59" s="115"/>
      <c r="K59" s="77"/>
      <c r="L59" s="53">
        <v>3227.8</v>
      </c>
      <c r="N59" s="34">
        <v>409</v>
      </c>
      <c r="O59" s="35">
        <v>410</v>
      </c>
      <c r="P59" s="35">
        <v>403</v>
      </c>
      <c r="Q59" s="35">
        <v>411</v>
      </c>
      <c r="R59" s="35">
        <v>419</v>
      </c>
      <c r="S59" s="35">
        <v>384</v>
      </c>
      <c r="T59" s="35">
        <v>404</v>
      </c>
      <c r="U59" s="20">
        <v>405</v>
      </c>
    </row>
    <row r="60" spans="1:40" x14ac:dyDescent="0.3">
      <c r="A60" s="77"/>
      <c r="B60" s="77"/>
      <c r="C60" s="77"/>
      <c r="D60" s="77"/>
      <c r="E60" s="115"/>
      <c r="F60" s="115"/>
      <c r="G60" s="115"/>
      <c r="H60" s="115"/>
      <c r="I60" s="115"/>
      <c r="J60" s="115"/>
      <c r="K60" s="77"/>
      <c r="L60" s="53">
        <v>1613.9</v>
      </c>
      <c r="M60" s="2">
        <f>AVERAGE(N60:U60)</f>
        <v>3232.875</v>
      </c>
      <c r="N60" s="36">
        <f>SUM(N52:N59)</f>
        <v>3193</v>
      </c>
      <c r="O60" s="37">
        <f>SUM(O52:O59)</f>
        <v>3232</v>
      </c>
      <c r="P60" s="37">
        <f t="shared" ref="P60:U60" si="1">SUM(P52:P59)</f>
        <v>3226</v>
      </c>
      <c r="Q60" s="37">
        <f t="shared" si="1"/>
        <v>3291</v>
      </c>
      <c r="R60" s="37">
        <f t="shared" si="1"/>
        <v>3242</v>
      </c>
      <c r="S60" s="37">
        <f t="shared" si="1"/>
        <v>3182</v>
      </c>
      <c r="T60" s="37">
        <f t="shared" si="1"/>
        <v>3275</v>
      </c>
      <c r="U60" s="21">
        <f t="shared" si="1"/>
        <v>3222</v>
      </c>
    </row>
    <row r="61" spans="1:40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40" x14ac:dyDescent="0.3">
      <c r="A62" s="77"/>
      <c r="B62" s="90" t="s">
        <v>106</v>
      </c>
      <c r="C62" s="115"/>
      <c r="D62" s="115"/>
      <c r="E62" s="115"/>
      <c r="F62" s="115"/>
      <c r="G62" s="77"/>
      <c r="H62" s="77"/>
      <c r="I62" s="77"/>
      <c r="J62" s="77"/>
      <c r="K62" s="77"/>
      <c r="N62" s="53">
        <v>501</v>
      </c>
      <c r="O62" s="53">
        <v>598</v>
      </c>
      <c r="P62" s="53">
        <v>735</v>
      </c>
      <c r="Q62" s="53">
        <v>331</v>
      </c>
      <c r="R62" s="53">
        <v>126</v>
      </c>
      <c r="S62" s="53">
        <v>212</v>
      </c>
      <c r="T62" s="53">
        <v>195</v>
      </c>
      <c r="U62" s="53">
        <v>592</v>
      </c>
    </row>
    <row r="63" spans="1:40" x14ac:dyDescent="0.3">
      <c r="A63" s="77"/>
      <c r="B63" s="90"/>
      <c r="C63" s="115"/>
      <c r="D63" s="115"/>
      <c r="E63" s="115"/>
      <c r="F63" s="115"/>
      <c r="G63" s="77"/>
      <c r="H63" s="77"/>
      <c r="I63" s="77"/>
      <c r="J63" s="77"/>
      <c r="K63" s="77"/>
      <c r="N63" s="53">
        <v>292</v>
      </c>
      <c r="O63" s="53">
        <v>212</v>
      </c>
      <c r="P63" s="53">
        <v>90</v>
      </c>
      <c r="Q63" s="53">
        <v>454</v>
      </c>
      <c r="R63" s="53">
        <v>654</v>
      </c>
      <c r="S63" s="53">
        <v>591</v>
      </c>
      <c r="T63" s="53">
        <v>603</v>
      </c>
      <c r="U63" s="53">
        <v>252</v>
      </c>
    </row>
    <row r="64" spans="1:40" x14ac:dyDescent="0.3">
      <c r="A64" s="77"/>
      <c r="B64" s="8" t="s">
        <v>31</v>
      </c>
      <c r="C64" s="52" t="s">
        <v>109</v>
      </c>
      <c r="D64" s="52" t="s">
        <v>110</v>
      </c>
      <c r="E64" s="52" t="s">
        <v>111</v>
      </c>
      <c r="F64" s="52" t="s">
        <v>112</v>
      </c>
      <c r="G64" s="77"/>
      <c r="H64" s="77"/>
      <c r="I64" s="77"/>
      <c r="J64" s="77"/>
      <c r="K64" s="77"/>
      <c r="N64" s="53">
        <v>396</v>
      </c>
      <c r="O64" s="53">
        <v>406</v>
      </c>
      <c r="P64" s="53">
        <v>411</v>
      </c>
      <c r="Q64" s="53">
        <v>392</v>
      </c>
      <c r="R64" s="53">
        <v>390</v>
      </c>
      <c r="S64" s="53">
        <v>401</v>
      </c>
      <c r="T64" s="53">
        <v>398</v>
      </c>
      <c r="U64" s="53">
        <v>422</v>
      </c>
    </row>
    <row r="65" spans="1:21" x14ac:dyDescent="0.3">
      <c r="A65" s="77"/>
      <c r="B65" s="38">
        <v>10</v>
      </c>
      <c r="C65" s="39">
        <f>(H27+J27)*2*B65/100+(H27+J27)*(100-B65)/100+C27*2*(60+B65)/100+C27*(40-B65)/100</f>
        <v>21804.874483579035</v>
      </c>
      <c r="D65" s="39">
        <f>(H27+J27)*2*B65/100+(H27+J27)*(100-B65)/100+C27*2*(B65)*1.4/100+C27*(100-B65)*1.4/100</f>
        <v>20979.749853245277</v>
      </c>
      <c r="E65" s="39">
        <f>H28*3*B65/100+I28*3*1.3*B65/100+H28*(100-B65)/100+I28*1.3*(100-B65)/100+C27*3*(60+B65)/100+C27*(40-B65)/100</f>
        <v>20964.676806083648</v>
      </c>
      <c r="F65" s="39">
        <f>H28*3*B65/100+I28*3*1.3*B65/100+H28*(100-B65)/100+I28*1.3*(100-B65)/100+C27*1.4*3*(B65)/100+C27*(100-B65)*1.4/100</f>
        <v>17251.615969581748</v>
      </c>
      <c r="G65" s="97"/>
      <c r="H65" s="97"/>
      <c r="I65" s="97"/>
      <c r="J65" s="97"/>
      <c r="K65" s="77"/>
      <c r="N65" s="53">
        <v>396</v>
      </c>
      <c r="O65" s="53">
        <v>405</v>
      </c>
      <c r="P65" s="53">
        <v>411</v>
      </c>
      <c r="Q65" s="53">
        <v>392</v>
      </c>
      <c r="R65" s="53">
        <v>391</v>
      </c>
      <c r="S65" s="53">
        <v>401</v>
      </c>
      <c r="T65" s="53">
        <v>398</v>
      </c>
      <c r="U65" s="53">
        <v>422</v>
      </c>
    </row>
    <row r="66" spans="1:21" ht="16.5" customHeight="1" x14ac:dyDescent="0.3">
      <c r="B66" s="38">
        <v>40</v>
      </c>
      <c r="C66" s="39">
        <f>(H27+J27)*2*B66/100+(H27+J27)*(100-B66)/100+C27*2*(60+B66)/100+C27*(40-B66)/100</f>
        <v>26907.780970804699</v>
      </c>
      <c r="D66" s="39">
        <f>(H27+J27)*2*B66/100+(H27+J27)*(100-B66)/100+C27*2*(B66)*1.4/100+C27*(100-B66)*1.4/100</f>
        <v>26701.49981322126</v>
      </c>
      <c r="E66" s="39">
        <f>H28*3*B66/100+I28*3*1.3*B66/100+H28*(100-B66)/100+I28*1.3*(100-B66)/100+C27*3*(60+B66)/100+C27*(40-B66)/100</f>
        <v>28352.797845373887</v>
      </c>
      <c r="F66" s="39">
        <f>H28*3*B66/100+I28*3*1.3*B66/100+H28*(100-B66)/100+I28*1.3*(100-B66)/100+C27*1.4*3*(B66)/100+C27*(100-B66)*1.4/100</f>
        <v>25877.423954372622</v>
      </c>
      <c r="M66" s="2" t="e">
        <f>AVERAGE(N66:U66)</f>
        <v>#DIV/0!</v>
      </c>
    </row>
    <row r="67" spans="1:21" ht="18.75" customHeight="1" x14ac:dyDescent="0.3">
      <c r="A67" s="117" t="s">
        <v>107</v>
      </c>
      <c r="B67" s="38">
        <v>70</v>
      </c>
      <c r="C67" s="39">
        <f>(H27+J27)*2*B67/100+(H27+J27)*(100-B67)/100+C27*2</f>
        <v>30463.57877615458</v>
      </c>
      <c r="D67" s="39">
        <f>(H27+J27)*2*B67/100+(H27+J27)*(100-B67)/100+C27*2*(B67)*1.4/100+C27*(100-B67)*1.4/100</f>
        <v>32423.249773197254</v>
      </c>
      <c r="E67" s="39">
        <f>H27*3*B67/100+I27*3*1.3*B67/100+H27*(100-B67)/100+I27*1.3*(100-B67)/100+C27*3*(60+B67)/100+C27*(40-B67)/100</f>
        <v>32422.591888466413</v>
      </c>
      <c r="F67" s="39">
        <f>H28*3*B67/100+I28*3*1.3*B67/100+H28*(100-B67)/100+I28*1.3*(100-B67)/100+C27*1.4*3*(B67)/100+C27*(100-B67)*1.4/100</f>
        <v>34503.231939163496</v>
      </c>
      <c r="G67" s="72"/>
      <c r="H67" s="72"/>
      <c r="I67" s="72"/>
      <c r="J67" s="72"/>
      <c r="K67" s="72"/>
      <c r="L67" s="72"/>
    </row>
    <row r="68" spans="1:21" ht="15.75" customHeight="1" x14ac:dyDescent="0.3">
      <c r="A68" s="116"/>
      <c r="B68" s="52"/>
      <c r="C68" s="39"/>
      <c r="D68" s="52"/>
      <c r="E68" s="52"/>
      <c r="F68" s="45"/>
      <c r="G68" s="72"/>
      <c r="H68" s="72"/>
      <c r="I68" s="72"/>
      <c r="J68" s="72"/>
      <c r="K68" s="72"/>
      <c r="L68" s="72"/>
    </row>
    <row r="69" spans="1:21" x14ac:dyDescent="0.3">
      <c r="G69" s="72"/>
      <c r="H69" s="72"/>
      <c r="I69" s="72"/>
      <c r="J69" s="72"/>
      <c r="K69" s="72"/>
      <c r="L69" s="72"/>
    </row>
    <row r="71" spans="1:21" x14ac:dyDescent="0.3">
      <c r="B71" s="67" t="s">
        <v>57</v>
      </c>
      <c r="C71" s="91"/>
      <c r="D71" s="91"/>
      <c r="E71" s="68"/>
      <c r="F71" s="119" t="s">
        <v>115</v>
      </c>
      <c r="G71" s="67" t="s">
        <v>113</v>
      </c>
      <c r="H71" s="91"/>
      <c r="I71" s="68"/>
      <c r="J71" s="95"/>
    </row>
    <row r="72" spans="1:21" x14ac:dyDescent="0.3">
      <c r="B72" s="93"/>
      <c r="C72" s="118"/>
      <c r="D72" s="118"/>
      <c r="E72" s="94"/>
      <c r="F72" s="120"/>
      <c r="G72" s="93"/>
      <c r="H72" s="118"/>
      <c r="I72" s="94"/>
      <c r="J72" s="121"/>
    </row>
    <row r="73" spans="1:21" x14ac:dyDescent="0.3">
      <c r="B73" s="8" t="s">
        <v>31</v>
      </c>
      <c r="C73" s="52" t="s">
        <v>40</v>
      </c>
      <c r="D73" s="52" t="s">
        <v>114</v>
      </c>
      <c r="E73" s="52" t="s">
        <v>61</v>
      </c>
      <c r="F73" s="120"/>
      <c r="G73" s="8" t="s">
        <v>31</v>
      </c>
      <c r="H73" s="52" t="s">
        <v>40</v>
      </c>
      <c r="I73" s="52" t="s">
        <v>61</v>
      </c>
    </row>
    <row r="74" spans="1:21" x14ac:dyDescent="0.3">
      <c r="B74" s="38">
        <v>10</v>
      </c>
      <c r="C74" s="39">
        <f>L28*1.75*1.3*2*B74/100+L28*1.75*1.3*(100-B74)/100</f>
        <v>20406.609133126942</v>
      </c>
      <c r="D74" s="39">
        <f>C74/1.3*0.7+M27*10*2*(B74)/100+M27*10*(100-B74)/100</f>
        <v>24622.963622291023</v>
      </c>
      <c r="E74" s="39">
        <f>L28*1.75*2.5*(20+B74)/100+L28*1.75*(80-B74)/100</f>
        <v>20692.016253869973</v>
      </c>
      <c r="F74" s="120"/>
      <c r="G74" s="38">
        <v>10</v>
      </c>
      <c r="H74" s="39">
        <f>L28*2*1.3*2*B74/100+L28*2*1.3*(100-B74)/100</f>
        <v>23321.839009287927</v>
      </c>
      <c r="I74" s="39">
        <f>L28*2*2.5*(20+B74)/100+L28*2*(80-B74)/100</f>
        <v>23648.018575851391</v>
      </c>
    </row>
    <row r="75" spans="1:21" x14ac:dyDescent="0.3">
      <c r="B75" s="38">
        <v>40</v>
      </c>
      <c r="C75" s="39">
        <f>L28*1.75*1.3*2*B75/100+L28*1.75*1.3*(100-B75)/100</f>
        <v>25972.047987616108</v>
      </c>
      <c r="D75" s="39">
        <f>C75/1.3*0.7+M27*10*2*(B75)/100+M27*10*(100-B75)/100</f>
        <v>31338.317337461303</v>
      </c>
      <c r="E75" s="39">
        <f>L28*1.75*2.5*(20+B75)/100+L28*1.75*(80-B75)/100</f>
        <v>27113.676470588238</v>
      </c>
      <c r="F75" s="120"/>
      <c r="G75" s="38">
        <v>40</v>
      </c>
      <c r="H75" s="39">
        <f>L28*2*1.3*2*B75/100+L28*2*1.3*(100-B75)/100</f>
        <v>29682.340557275544</v>
      </c>
      <c r="I75" s="39">
        <f>L28*2*2.5*(20+B75)/100+L28*2*(80-B75)/100</f>
        <v>30987.058823529413</v>
      </c>
    </row>
    <row r="76" spans="1:21" x14ac:dyDescent="0.3">
      <c r="B76" s="38">
        <v>70</v>
      </c>
      <c r="C76" s="39">
        <f>L28*1.75*1.3*2*B76/100+L28*1.75*1.3*(100-B76)/100</f>
        <v>31537.486842105271</v>
      </c>
      <c r="D76" s="39">
        <f>C76/1.3*0.7+M27*10*2*(B76)/100+M27*10*(100-B76)/100</f>
        <v>38053.67105263158</v>
      </c>
      <c r="E76" s="39">
        <f>L28*1.75*2.5*(20+B76)/100+L28*1.75*(80-B76)/100</f>
        <v>33535.33668730651</v>
      </c>
      <c r="F76" s="120"/>
      <c r="G76" s="38">
        <v>70</v>
      </c>
      <c r="H76" s="39">
        <f>L28*2*1.3*2*B76/100+L28*2*1.3*(100-B76)/100</f>
        <v>36042.84210526316</v>
      </c>
      <c r="I76" s="39">
        <f>L28*2*2.5*(20+B76)/100+L28*2*(80-B76)/100</f>
        <v>38326.099071207434</v>
      </c>
    </row>
    <row r="77" spans="1:21" x14ac:dyDescent="0.3">
      <c r="B77" s="52"/>
      <c r="C77" s="40"/>
      <c r="D77" s="52"/>
      <c r="E77" s="52"/>
      <c r="F77" s="120"/>
      <c r="G77" s="52"/>
      <c r="H77" s="40"/>
      <c r="I77" s="52"/>
    </row>
    <row r="78" spans="1:21" x14ac:dyDescent="0.3">
      <c r="H78" s="46"/>
    </row>
    <row r="79" spans="1:21" ht="16.5" customHeight="1" x14ac:dyDescent="0.3">
      <c r="B79" s="72" t="s">
        <v>63</v>
      </c>
      <c r="C79" s="72"/>
      <c r="D79" s="72"/>
      <c r="E79" s="72"/>
      <c r="F79" s="72"/>
    </row>
    <row r="80" spans="1:21" x14ac:dyDescent="0.3">
      <c r="B80" s="72"/>
      <c r="C80" s="72"/>
      <c r="D80" s="72"/>
      <c r="E80" s="72"/>
      <c r="F80" s="72"/>
      <c r="H80" s="43"/>
    </row>
    <row r="81" spans="2:8" x14ac:dyDescent="0.3">
      <c r="B81" s="72"/>
      <c r="C81" s="72"/>
      <c r="D81" s="72"/>
      <c r="E81" s="72"/>
      <c r="F81" s="72"/>
      <c r="H81" s="43"/>
    </row>
    <row r="82" spans="2:8" x14ac:dyDescent="0.3">
      <c r="B82" s="72"/>
      <c r="C82" s="72"/>
      <c r="D82" s="72"/>
      <c r="E82" s="72"/>
      <c r="F82" s="72"/>
      <c r="H82" s="43"/>
    </row>
    <row r="83" spans="2:8" x14ac:dyDescent="0.3">
      <c r="B83" s="72"/>
      <c r="C83" s="72"/>
      <c r="D83" s="72"/>
      <c r="E83" s="72"/>
      <c r="F83" s="72"/>
    </row>
    <row r="84" spans="2:8" x14ac:dyDescent="0.3">
      <c r="B84" s="72"/>
      <c r="C84" s="72"/>
      <c r="D84" s="72"/>
      <c r="E84" s="72"/>
      <c r="F84" s="72"/>
      <c r="H84" s="46"/>
    </row>
    <row r="85" spans="2:8" x14ac:dyDescent="0.3">
      <c r="B85" s="72"/>
      <c r="C85" s="72"/>
      <c r="D85" s="72"/>
      <c r="E85" s="72"/>
      <c r="F85" s="72"/>
      <c r="H85" s="46"/>
    </row>
    <row r="86" spans="2:8" x14ac:dyDescent="0.3">
      <c r="B86" s="72"/>
      <c r="C86" s="72"/>
      <c r="D86" s="72"/>
      <c r="E86" s="72"/>
      <c r="F86" s="72"/>
      <c r="G86" s="47"/>
      <c r="H86" s="46"/>
    </row>
    <row r="87" spans="2:8" x14ac:dyDescent="0.3">
      <c r="B87" s="72"/>
      <c r="C87" s="72"/>
      <c r="D87" s="72"/>
      <c r="E87" s="72"/>
      <c r="F87" s="72"/>
      <c r="G87" s="48"/>
      <c r="H87" s="46"/>
    </row>
    <row r="88" spans="2:8" x14ac:dyDescent="0.3">
      <c r="B88" s="72"/>
      <c r="C88" s="72"/>
      <c r="D88" s="72"/>
      <c r="E88" s="72"/>
      <c r="F88" s="72"/>
      <c r="G88" s="49"/>
      <c r="H88" s="46"/>
    </row>
    <row r="89" spans="2:8" x14ac:dyDescent="0.3">
      <c r="B89" s="72"/>
      <c r="C89" s="72"/>
      <c r="D89" s="72"/>
      <c r="E89" s="72"/>
      <c r="F89" s="72"/>
      <c r="H89" s="46"/>
    </row>
    <row r="90" spans="2:8" x14ac:dyDescent="0.3">
      <c r="B90" s="72"/>
      <c r="C90" s="72"/>
      <c r="D90" s="72"/>
      <c r="E90" s="72"/>
      <c r="F90" s="72"/>
      <c r="G90" s="50"/>
      <c r="H90" s="46"/>
    </row>
    <row r="91" spans="2:8" x14ac:dyDescent="0.3">
      <c r="G91" s="50"/>
      <c r="H91" s="46"/>
    </row>
  </sheetData>
  <mergeCells count="42">
    <mergeCell ref="E56:J60"/>
    <mergeCell ref="B62:F63"/>
    <mergeCell ref="B71:E72"/>
    <mergeCell ref="F71:F77"/>
    <mergeCell ref="G71:I72"/>
    <mergeCell ref="G67:L69"/>
    <mergeCell ref="M4:M6"/>
    <mergeCell ref="J4:J6"/>
    <mergeCell ref="L4:L5"/>
    <mergeCell ref="N22:O28"/>
    <mergeCell ref="B49:D50"/>
    <mergeCell ref="C27:D27"/>
    <mergeCell ref="E27:F27"/>
    <mergeCell ref="H4:I4"/>
    <mergeCell ref="H5:H6"/>
    <mergeCell ref="B4:B5"/>
    <mergeCell ref="H27:I27"/>
    <mergeCell ref="E25:F25"/>
    <mergeCell ref="C25:D25"/>
    <mergeCell ref="I5:I6"/>
    <mergeCell ref="K5:K6"/>
    <mergeCell ref="B79:F90"/>
    <mergeCell ref="E26:F26"/>
    <mergeCell ref="C4:D4"/>
    <mergeCell ref="C26:D26"/>
    <mergeCell ref="C5:D6"/>
    <mergeCell ref="B32:I32"/>
    <mergeCell ref="L32:O32"/>
    <mergeCell ref="B33:D34"/>
    <mergeCell ref="B41:E42"/>
    <mergeCell ref="G41:J42"/>
    <mergeCell ref="N50:O50"/>
    <mergeCell ref="F33:H34"/>
    <mergeCell ref="E49:M55"/>
    <mergeCell ref="H29:J29"/>
    <mergeCell ref="H30:J30"/>
    <mergeCell ref="K30:Q30"/>
    <mergeCell ref="L29:M29"/>
    <mergeCell ref="E4:F4"/>
    <mergeCell ref="E5:E6"/>
    <mergeCell ref="F5:F6"/>
    <mergeCell ref="G5:G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패치 전</vt:lpstr>
      <vt:lpstr>Sheet3</vt:lpstr>
      <vt:lpstr>패치 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조재욱</dc:creator>
  <cp:lastModifiedBy>조재욱</cp:lastModifiedBy>
  <dcterms:created xsi:type="dcterms:W3CDTF">2018-12-10T14:35:41Z</dcterms:created>
  <dcterms:modified xsi:type="dcterms:W3CDTF">2018-12-12T11:23:18Z</dcterms:modified>
</cp:coreProperties>
</file>