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6155" windowHeight="11655" activeTab="1"/>
  </bookViews>
  <sheets>
    <sheet name="사용전 필독" sheetId="8" r:id="rId1"/>
    <sheet name="인파 시뮬" sheetId="9" r:id="rId2"/>
    <sheet name="트포별 계수" sheetId="2" r:id="rId3"/>
    <sheet name="Sheet1" sheetId="4" state="hidden" r:id="rId4"/>
  </sheets>
  <calcPr calcId="145621"/>
</workbook>
</file>

<file path=xl/calcChain.xml><?xml version="1.0" encoding="utf-8"?>
<calcChain xmlns="http://schemas.openxmlformats.org/spreadsheetml/2006/main">
  <c r="T20" i="9" l="1"/>
  <c r="T19" i="9"/>
  <c r="T18" i="9"/>
  <c r="U18" i="9" s="1"/>
  <c r="T17" i="9"/>
  <c r="U17" i="9" s="1"/>
  <c r="T16" i="9"/>
  <c r="U16" i="9" s="1"/>
  <c r="T15" i="9"/>
  <c r="T14" i="9"/>
  <c r="U14" i="9" s="1"/>
  <c r="T13" i="9"/>
  <c r="T11" i="9"/>
  <c r="T10" i="9"/>
  <c r="T9" i="9"/>
  <c r="U9" i="9" s="1"/>
  <c r="T8" i="9"/>
  <c r="U8" i="9" s="1"/>
  <c r="T7" i="9"/>
  <c r="T6" i="9"/>
  <c r="T5" i="9"/>
  <c r="T4" i="9"/>
  <c r="E20" i="9"/>
  <c r="Q20" i="9"/>
  <c r="Q19" i="9"/>
  <c r="Q18" i="9"/>
  <c r="Q17" i="9"/>
  <c r="Q16" i="9"/>
  <c r="Q15" i="9"/>
  <c r="Q14" i="9"/>
  <c r="Q13" i="9"/>
  <c r="Q11" i="9"/>
  <c r="Q10" i="9"/>
  <c r="Q9" i="9"/>
  <c r="Q8" i="9"/>
  <c r="Q7" i="9"/>
  <c r="Q6" i="9"/>
  <c r="Q5" i="9"/>
  <c r="Q4" i="9"/>
  <c r="N20" i="9"/>
  <c r="N19" i="9"/>
  <c r="N18" i="9"/>
  <c r="N17" i="9"/>
  <c r="N16" i="9"/>
  <c r="N15" i="9"/>
  <c r="N14" i="9"/>
  <c r="N13" i="9"/>
  <c r="N11" i="9"/>
  <c r="N10" i="9"/>
  <c r="N9" i="9"/>
  <c r="N8" i="9"/>
  <c r="N6" i="9"/>
  <c r="N5" i="9"/>
  <c r="N4" i="9"/>
  <c r="L20" i="9"/>
  <c r="K20" i="9"/>
  <c r="D20" i="9"/>
  <c r="C20" i="9"/>
  <c r="B20" i="9"/>
  <c r="A20" i="9"/>
  <c r="L19" i="9"/>
  <c r="K16" i="9"/>
  <c r="P15" i="9"/>
  <c r="L15" i="9"/>
  <c r="U15" i="9" s="1"/>
  <c r="K15" i="9"/>
  <c r="L13" i="9"/>
  <c r="K13" i="9"/>
  <c r="L11" i="9"/>
  <c r="K11" i="9"/>
  <c r="L10" i="9"/>
  <c r="N7" i="9"/>
  <c r="P5" i="9"/>
  <c r="L4" i="9"/>
  <c r="U11" i="9" l="1"/>
  <c r="R15" i="9"/>
  <c r="M16" i="9"/>
  <c r="O16" i="9" s="1"/>
  <c r="M6" i="9"/>
  <c r="O6" i="9" s="1"/>
  <c r="M15" i="9"/>
  <c r="P14" i="9"/>
  <c r="S14" i="9" s="1"/>
  <c r="M20" i="9"/>
  <c r="O20" i="9" s="1"/>
  <c r="M10" i="9"/>
  <c r="P11" i="9"/>
  <c r="P18" i="9"/>
  <c r="S18" i="9" s="1"/>
  <c r="M18" i="9"/>
  <c r="U20" i="9"/>
  <c r="U4" i="9"/>
  <c r="P8" i="9"/>
  <c r="U10" i="9"/>
  <c r="U5" i="9"/>
  <c r="P7" i="9"/>
  <c r="M9" i="9"/>
  <c r="O9" i="9" s="1"/>
  <c r="M19" i="9"/>
  <c r="O19" i="9" s="1"/>
  <c r="M17" i="9"/>
  <c r="O17" i="9" s="1"/>
  <c r="U6" i="9"/>
  <c r="M8" i="9"/>
  <c r="O8" i="9" s="1"/>
  <c r="P17" i="9"/>
  <c r="P19" i="9"/>
  <c r="S19" i="9" s="1"/>
  <c r="U19" i="9"/>
  <c r="P4" i="9"/>
  <c r="O10" i="9"/>
  <c r="M5" i="9"/>
  <c r="R5" i="9" s="1"/>
  <c r="P6" i="9"/>
  <c r="P10" i="9"/>
  <c r="M14" i="9"/>
  <c r="O14" i="9" s="1"/>
  <c r="P20" i="9"/>
  <c r="U13" i="9"/>
  <c r="U7" i="9"/>
  <c r="M4" i="9"/>
  <c r="O4" i="9" s="1"/>
  <c r="O5" i="9"/>
  <c r="M7" i="9"/>
  <c r="R7" i="9" s="1"/>
  <c r="P9" i="9"/>
  <c r="M11" i="9"/>
  <c r="M13" i="9"/>
  <c r="O13" i="9" s="1"/>
  <c r="O18" i="9"/>
  <c r="O11" i="9"/>
  <c r="O15" i="9"/>
  <c r="P16" i="9"/>
  <c r="S5" i="9"/>
  <c r="P13" i="9"/>
  <c r="S15" i="9"/>
  <c r="U7" i="2"/>
  <c r="S9" i="2"/>
  <c r="S8" i="2"/>
  <c r="R18" i="9" l="1"/>
  <c r="S11" i="9"/>
  <c r="R11" i="9"/>
  <c r="R14" i="9"/>
  <c r="S10" i="9"/>
  <c r="R9" i="9"/>
  <c r="R20" i="9"/>
  <c r="S6" i="9"/>
  <c r="R17" i="9"/>
  <c r="R4" i="9"/>
  <c r="R19" i="9"/>
  <c r="R6" i="9"/>
  <c r="R8" i="9"/>
  <c r="S8" i="9"/>
  <c r="S4" i="9"/>
  <c r="S17" i="9"/>
  <c r="S9" i="9"/>
  <c r="R10" i="9"/>
  <c r="S7" i="9"/>
  <c r="S20" i="9"/>
  <c r="O7" i="9"/>
  <c r="S16" i="9"/>
  <c r="R16" i="9"/>
  <c r="R13" i="9"/>
  <c r="S13" i="9"/>
  <c r="L14" i="2" l="1"/>
  <c r="M14" i="2" s="1"/>
  <c r="L19" i="2"/>
  <c r="M19" i="2" s="1"/>
  <c r="L18" i="2"/>
  <c r="M18" i="2" s="1"/>
  <c r="L17" i="2"/>
  <c r="M17" i="2" s="1"/>
  <c r="L16" i="2"/>
  <c r="M16" i="2" s="1"/>
  <c r="L15" i="2"/>
  <c r="M15" i="2" s="1"/>
  <c r="L13" i="2"/>
  <c r="M13" i="2" s="1"/>
  <c r="L12" i="2"/>
  <c r="M12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</calcChain>
</file>

<file path=xl/sharedStrings.xml><?xml version="1.0" encoding="utf-8"?>
<sst xmlns="http://schemas.openxmlformats.org/spreadsheetml/2006/main" count="116" uniqueCount="92">
  <si>
    <t>쿨타임(초)</t>
  </si>
  <si>
    <t>시전시간(초)</t>
  </si>
  <si>
    <t>쿨+시전(초)</t>
  </si>
  <si>
    <t>기력</t>
  </si>
  <si>
    <t>전진일격</t>
  </si>
  <si>
    <t>치명</t>
  </si>
  <si>
    <t>파쇄</t>
  </si>
  <si>
    <t>신속</t>
  </si>
  <si>
    <t>맹호</t>
  </si>
  <si>
    <t>특화</t>
  </si>
  <si>
    <t>용강</t>
  </si>
  <si>
    <t>지진</t>
  </si>
  <si>
    <t>치명확율</t>
  </si>
  <si>
    <t>공격속도</t>
  </si>
  <si>
    <t>쿨타임</t>
  </si>
  <si>
    <t>충격증가</t>
  </si>
  <si>
    <t>난타</t>
  </si>
  <si>
    <t>밀고</t>
  </si>
  <si>
    <t>철포</t>
  </si>
  <si>
    <t>충격</t>
  </si>
  <si>
    <t>심판</t>
  </si>
  <si>
    <t>일망</t>
  </si>
  <si>
    <t>죽선</t>
  </si>
  <si>
    <t>회심</t>
  </si>
  <si>
    <t>연환</t>
  </si>
  <si>
    <t>진용</t>
  </si>
  <si>
    <t>초신</t>
  </si>
  <si>
    <t>무기공격력</t>
    <phoneticPr fontId="1" type="noConversion"/>
  </si>
  <si>
    <t>힘</t>
    <phoneticPr fontId="1" type="noConversion"/>
  </si>
  <si>
    <t>입력란</t>
    <phoneticPr fontId="1" type="noConversion"/>
  </si>
  <si>
    <t>← 무기의 최소/최대 공격력 평균값</t>
    <phoneticPr fontId="1" type="noConversion"/>
  </si>
  <si>
    <t>트포1</t>
    <phoneticPr fontId="1" type="noConversion"/>
  </si>
  <si>
    <t>트포2</t>
    <phoneticPr fontId="1" type="noConversion"/>
  </si>
  <si>
    <t>트포3</t>
    <phoneticPr fontId="1" type="noConversion"/>
  </si>
  <si>
    <t>트포별 데미지 증가(레이드 기준)</t>
    <phoneticPr fontId="1" type="noConversion"/>
  </si>
  <si>
    <t>트포1
(1/2/3)</t>
    <phoneticPr fontId="1" type="noConversion"/>
  </si>
  <si>
    <t>트포2
(1/2/3)</t>
    <phoneticPr fontId="1" type="noConversion"/>
  </si>
  <si>
    <t>트포3
(1/2)</t>
    <phoneticPr fontId="1" type="noConversion"/>
  </si>
  <si>
    <t>곱</t>
    <phoneticPr fontId="1" type="noConversion"/>
  </si>
  <si>
    <t>합</t>
    <phoneticPr fontId="1" type="noConversion"/>
  </si>
  <si>
    <t>속성공격력</t>
    <phoneticPr fontId="1" type="noConversion"/>
  </si>
  <si>
    <t>속성공격력은 현재 가정단계</t>
    <phoneticPr fontId="1" type="noConversion"/>
  </si>
  <si>
    <t>수련장 허수아비(네임드 기준) 실험 완료(18.12.11)</t>
  </si>
  <si>
    <t>기본 데미지
(특성X,트포X)</t>
    <phoneticPr fontId="1" type="noConversion"/>
  </si>
  <si>
    <t>기본 DPS
(특성X,트포X)</t>
    <phoneticPr fontId="1" type="noConversion"/>
  </si>
  <si>
    <t>수련장 보스 몬스터 실험 완료(18.12.11)_뎀감 약 60%</t>
    <phoneticPr fontId="1" type="noConversion"/>
  </si>
  <si>
    <t>2. 트포 효과중 공속증가 항목 스킬 시전시간 감소로 적용(DPS 상승)</t>
  </si>
  <si>
    <t>4. 속성 데미지란 추가(현재 무공과 합연산으로 가정)</t>
  </si>
  <si>
    <t>  -. 이제 헬가 클리어한 373 쪼랩이라.. 속성무기 득 한 후 정확히 업뎃예정</t>
  </si>
  <si>
    <t>◎ 인파 스킬 일부 트포 설명 </t>
  </si>
  <si>
    <t>1. 일망 타진 트포(단일타격 - 광인 - 보강된 타격)을 탈 경우 2타중 후속타에만 단일 타격 적용</t>
  </si>
  <si>
    <t>   -. 단일타격 - 광인 2트포까지만 탈경우 선타 후타 둘다 적용됨.</t>
  </si>
  <si>
    <t>      보강된 타격 트포에서 문제 발생되는 것으로 추정</t>
  </si>
  <si>
    <t>2. 파쇄격 충격조절 트포설명</t>
  </si>
  <si>
    <t>   -. 파쇄격 기본 툴팁에 있는 충격량에 비례한 데미지 증가 옵션 삭제되며</t>
  </si>
  <si>
    <t>      충격 전구간 고정 30% 데미지 증가</t>
  </si>
  <si>
    <t>◎ 시뮬시트 사용시 주의점</t>
  </si>
  <si>
    <t>1. 화상, 출혈등의 트포는 본인 공격력에 따른 자동 계산으로 반영되어 있음.</t>
  </si>
  <si>
    <t>2. 치명타율이나 확율 발동스킬의 경우 평균 데미지로 적용되어있음</t>
  </si>
  <si>
    <t> ex) 치명타 10%일경우 평균 데미지 10%증가로 적용(10번 타격시 1번 크리터지므로 평균 10% 뎀상승)</t>
  </si>
  <si>
    <t>3. 공속은 시전시간 감소, 쿨감은 말 그대로 쿨타임 감소 적용</t>
  </si>
  <si>
    <t>4. 트포내에 쿨감, 공속, 치명율 증가 등은 반영되어 있음</t>
  </si>
  <si>
    <t>◎업뎃내용(12월 13일)</t>
    <phoneticPr fontId="1" type="noConversion"/>
  </si>
  <si>
    <t xml:space="preserve"> 가. 파쇄의 강티 기준 피해량 7.5% 증가</t>
    <phoneticPr fontId="1" type="noConversion"/>
  </si>
  <si>
    <t xml:space="preserve"> 나. 난타연권 기준 피해량 12.5% 증가</t>
    <phoneticPr fontId="1" type="noConversion"/>
  </si>
  <si>
    <t xml:space="preserve"> 다. 밀고나가기 기준 피해량 10.4% 증가</t>
    <phoneticPr fontId="1" type="noConversion"/>
  </si>
  <si>
    <t>5. 연환 파신권 3트포 1/2 번 계수 수정</t>
    <phoneticPr fontId="1" type="noConversion"/>
  </si>
  <si>
    <t>6. 로스트아크 12월 12일자 공식 업데이트 내용 반영</t>
    <phoneticPr fontId="1" type="noConversion"/>
  </si>
  <si>
    <t>1. 트포 효과중 치명타적중률 증가항목을 현재 자신의 치명타에 합연산 되도록 수정</t>
    <phoneticPr fontId="1" type="noConversion"/>
  </si>
  <si>
    <t>수련장 보스 몬스터 재실험 완료(18.12.13)_뎀감 약 55%</t>
  </si>
  <si>
    <t>(알리페르 보스 기준 실험)</t>
  </si>
  <si>
    <t>무력화</t>
    <phoneticPr fontId="1" type="noConversion"/>
  </si>
  <si>
    <t>예상데미지</t>
    <phoneticPr fontId="1" type="noConversion"/>
  </si>
  <si>
    <t>예상 DPS</t>
    <phoneticPr fontId="1" type="noConversion"/>
  </si>
  <si>
    <t>(특성/트포 적용후)
(허수아비 넴드기준)</t>
    <phoneticPr fontId="1" type="noConversion"/>
  </si>
  <si>
    <t>(특성/트포 적용후)
(보스 기준)</t>
    <phoneticPr fontId="1" type="noConversion"/>
  </si>
  <si>
    <t>(100%기준 퍼센트)
(알리페르 기준)</t>
    <phoneticPr fontId="1" type="noConversion"/>
  </si>
  <si>
    <t>순간/초당 무력화
(무력화/시전시간)</t>
    <phoneticPr fontId="1" type="noConversion"/>
  </si>
  <si>
    <t>◎업뎃내용(12월 20일)</t>
    <phoneticPr fontId="1" type="noConversion"/>
  </si>
  <si>
    <t xml:space="preserve">  -. 보스 무력화 풀인상태를 100%로 봤을때 스킬 1회당 깍을 수 있는 무력화 %</t>
    <phoneticPr fontId="1" type="noConversion"/>
  </si>
  <si>
    <t xml:space="preserve">  -. 스킬1회를 시전시간으로 나눈 초당/순간 무력화%</t>
    <phoneticPr fontId="1" type="noConversion"/>
  </si>
  <si>
    <t>1. 스킬별/트라이포드별 무력화 추가</t>
    <phoneticPr fontId="1" type="noConversion"/>
  </si>
  <si>
    <t>3. 보스 몬스터 적용시 데미지 및 DPS 란 추가(수련장 알리페르 보스기준 데미지감소 55%)</t>
    <phoneticPr fontId="1" type="noConversion"/>
  </si>
  <si>
    <t>◎업뎃내용(12월 14일)</t>
    <phoneticPr fontId="1" type="noConversion"/>
  </si>
  <si>
    <t>1. 일부스킬 계수 재검증후 수정</t>
    <phoneticPr fontId="1" type="noConversion"/>
  </si>
  <si>
    <t>2. 죽선 및 파쇄격 충격량별 데미지 증가 트포 연산방식 변경</t>
    <phoneticPr fontId="1" type="noConversion"/>
  </si>
  <si>
    <t>3. 연환 트포 계수 수정</t>
    <phoneticPr fontId="1" type="noConversion"/>
  </si>
  <si>
    <t>4. 난타 트포 계수 수정</t>
    <phoneticPr fontId="1" type="noConversion"/>
  </si>
  <si>
    <t>5. 보스 데미지 감소 55%로 조정(수련장 알리페르 실험 기준)</t>
    <phoneticPr fontId="1" type="noConversion"/>
  </si>
  <si>
    <t>숙련</t>
    <phoneticPr fontId="1" type="noConversion"/>
  </si>
  <si>
    <t>무력화증가</t>
    <phoneticPr fontId="1" type="noConversion"/>
  </si>
  <si>
    <t>※ 로아 인파이터 시뮬레이터 ver3.4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</si>
</sst>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000"/>
    <numFmt numFmtId="178" formatCode="0.00_ "/>
    <numFmt numFmtId="179" formatCode="0.0_ 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u/>
      <sz val="10"/>
      <color rgb="FFFF0000"/>
      <name val="맑은 고딕"/>
      <family val="3"/>
      <charset val="129"/>
    </font>
    <font>
      <b/>
      <u/>
      <sz val="18"/>
      <color rgb="FF000000"/>
      <name val="맑은 고딕"/>
      <family val="3"/>
      <charset val="129"/>
    </font>
    <font>
      <b/>
      <u/>
      <sz val="18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0"/>
      <color rgb="FF0070C0"/>
      <name val="맑은 고딕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right" wrapText="1"/>
    </xf>
    <xf numFmtId="0" fontId="6" fillId="0" borderId="0" xfId="0" applyFo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>
      <alignment vertical="center"/>
    </xf>
    <xf numFmtId="0" fontId="7" fillId="0" borderId="1" xfId="0" applyFont="1" applyBorder="1" applyAlignment="1">
      <alignment horizontal="center" wrapText="1"/>
    </xf>
    <xf numFmtId="177" fontId="6" fillId="0" borderId="0" xfId="0" applyNumberFormat="1" applyFont="1">
      <alignment vertical="center"/>
    </xf>
    <xf numFmtId="176" fontId="2" fillId="0" borderId="0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horizontal="right" wrapText="1"/>
    </xf>
    <xf numFmtId="176" fontId="2" fillId="0" borderId="2" xfId="0" applyNumberFormat="1" applyFont="1" applyBorder="1" applyAlignment="1">
      <alignment horizontal="right" wrapText="1"/>
    </xf>
    <xf numFmtId="176" fontId="3" fillId="0" borderId="1" xfId="0" applyNumberFormat="1" applyFont="1" applyBorder="1" applyAlignment="1">
      <alignment horizontal="right" wrapText="1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9" fontId="0" fillId="0" borderId="0" xfId="0" applyNumberFormat="1">
      <alignment vertical="center"/>
    </xf>
    <xf numFmtId="1" fontId="6" fillId="0" borderId="0" xfId="0" applyNumberFormat="1" applyFont="1">
      <alignment vertical="center"/>
    </xf>
    <xf numFmtId="1" fontId="3" fillId="0" borderId="1" xfId="0" applyNumberFormat="1" applyFont="1" applyBorder="1" applyAlignment="1">
      <alignment horizontal="right" wrapText="1"/>
    </xf>
    <xf numFmtId="1" fontId="3" fillId="0" borderId="0" xfId="0" applyNumberFormat="1" applyFont="1" applyBorder="1" applyAlignment="1">
      <alignment horizontal="right" wrapText="1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2" fillId="3" borderId="1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wrapText="1"/>
    </xf>
    <xf numFmtId="0" fontId="2" fillId="0" borderId="0" xfId="0" applyFont="1" applyBorder="1" applyAlignment="1"/>
    <xf numFmtId="0" fontId="6" fillId="0" borderId="0" xfId="0" applyFont="1" applyFill="1" applyBorder="1">
      <alignment vertical="center"/>
    </xf>
    <xf numFmtId="0" fontId="1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right" wrapText="1"/>
    </xf>
    <xf numFmtId="1" fontId="14" fillId="0" borderId="0" xfId="0" applyNumberFormat="1" applyFont="1" applyBorder="1" applyAlignment="1">
      <alignment horizontal="right" wrapText="1"/>
    </xf>
    <xf numFmtId="176" fontId="14" fillId="0" borderId="1" xfId="0" applyNumberFormat="1" applyFont="1" applyBorder="1" applyAlignment="1">
      <alignment horizontal="right" wrapText="1"/>
    </xf>
    <xf numFmtId="176" fontId="14" fillId="0" borderId="0" xfId="0" applyNumberFormat="1" applyFont="1" applyBorder="1" applyAlignment="1">
      <alignment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" fontId="4" fillId="0" borderId="1" xfId="0" applyNumberFormat="1" applyFont="1" applyBorder="1" applyAlignment="1">
      <alignment horizontal="right" wrapText="1"/>
    </xf>
    <xf numFmtId="1" fontId="2" fillId="0" borderId="0" xfId="0" applyNumberFormat="1" applyFont="1" applyBorder="1" applyAlignment="1">
      <alignment wrapText="1"/>
    </xf>
    <xf numFmtId="0" fontId="3" fillId="0" borderId="0" xfId="0" applyFont="1" applyBorder="1" applyAlignment="1"/>
    <xf numFmtId="176" fontId="5" fillId="3" borderId="1" xfId="0" applyNumberFormat="1" applyFont="1" applyFill="1" applyBorder="1" applyAlignment="1">
      <alignment horizontal="center" wrapText="1"/>
    </xf>
    <xf numFmtId="1" fontId="5" fillId="3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10" fontId="12" fillId="5" borderId="1" xfId="1" applyNumberFormat="1" applyFont="1" applyFill="1" applyBorder="1" applyAlignment="1">
      <alignment horizontal="center" wrapText="1"/>
    </xf>
    <xf numFmtId="10" fontId="3" fillId="5" borderId="0" xfId="1" applyNumberFormat="1" applyFont="1" applyFill="1" applyBorder="1" applyAlignment="1">
      <alignment wrapText="1"/>
    </xf>
    <xf numFmtId="10" fontId="12" fillId="0" borderId="0" xfId="1" applyNumberFormat="1" applyFont="1">
      <alignment vertical="center"/>
    </xf>
    <xf numFmtId="0" fontId="13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B39"/>
  <sheetViews>
    <sheetView showGridLines="0" workbookViewId="0">
      <selection activeCell="B13" sqref="B13"/>
    </sheetView>
  </sheetViews>
  <sheetFormatPr defaultRowHeight="16.5" x14ac:dyDescent="0.3"/>
  <sheetData>
    <row r="2" spans="2:2" x14ac:dyDescent="0.3">
      <c r="B2" s="39" t="s">
        <v>78</v>
      </c>
    </row>
    <row r="3" spans="2:2" x14ac:dyDescent="0.3">
      <c r="B3" s="38" t="s">
        <v>81</v>
      </c>
    </row>
    <row r="4" spans="2:2" x14ac:dyDescent="0.3">
      <c r="B4" s="38" t="s">
        <v>79</v>
      </c>
    </row>
    <row r="5" spans="2:2" x14ac:dyDescent="0.3">
      <c r="B5" s="38" t="s">
        <v>80</v>
      </c>
    </row>
    <row r="6" spans="2:2" x14ac:dyDescent="0.3">
      <c r="B6" s="38"/>
    </row>
    <row r="7" spans="2:2" x14ac:dyDescent="0.3">
      <c r="B7" s="39" t="s">
        <v>83</v>
      </c>
    </row>
    <row r="8" spans="2:2" x14ac:dyDescent="0.3">
      <c r="B8" s="38" t="s">
        <v>84</v>
      </c>
    </row>
    <row r="9" spans="2:2" x14ac:dyDescent="0.3">
      <c r="B9" s="38" t="s">
        <v>85</v>
      </c>
    </row>
    <row r="10" spans="2:2" x14ac:dyDescent="0.3">
      <c r="B10" s="38" t="s">
        <v>86</v>
      </c>
    </row>
    <row r="11" spans="2:2" x14ac:dyDescent="0.3">
      <c r="B11" s="38" t="s">
        <v>87</v>
      </c>
    </row>
    <row r="12" spans="2:2" x14ac:dyDescent="0.3">
      <c r="B12" s="38" t="s">
        <v>88</v>
      </c>
    </row>
    <row r="13" spans="2:2" x14ac:dyDescent="0.3">
      <c r="B13" s="38"/>
    </row>
    <row r="14" spans="2:2" x14ac:dyDescent="0.3">
      <c r="B14" s="39" t="s">
        <v>62</v>
      </c>
    </row>
    <row r="15" spans="2:2" x14ac:dyDescent="0.3">
      <c r="B15" s="38" t="s">
        <v>68</v>
      </c>
    </row>
    <row r="16" spans="2:2" x14ac:dyDescent="0.3">
      <c r="B16" s="38" t="s">
        <v>46</v>
      </c>
    </row>
    <row r="17" spans="2:2" x14ac:dyDescent="0.3">
      <c r="B17" s="38" t="s">
        <v>82</v>
      </c>
    </row>
    <row r="18" spans="2:2" x14ac:dyDescent="0.3">
      <c r="B18" s="38" t="s">
        <v>47</v>
      </c>
    </row>
    <row r="19" spans="2:2" x14ac:dyDescent="0.3">
      <c r="B19" s="38" t="s">
        <v>48</v>
      </c>
    </row>
    <row r="20" spans="2:2" x14ac:dyDescent="0.3">
      <c r="B20" s="38" t="s">
        <v>66</v>
      </c>
    </row>
    <row r="21" spans="2:2" x14ac:dyDescent="0.3">
      <c r="B21" s="38" t="s">
        <v>67</v>
      </c>
    </row>
    <row r="22" spans="2:2" x14ac:dyDescent="0.3">
      <c r="B22" s="38" t="s">
        <v>63</v>
      </c>
    </row>
    <row r="23" spans="2:2" x14ac:dyDescent="0.3">
      <c r="B23" s="38" t="s">
        <v>64</v>
      </c>
    </row>
    <row r="24" spans="2:2" x14ac:dyDescent="0.3">
      <c r="B24" s="38" t="s">
        <v>65</v>
      </c>
    </row>
    <row r="25" spans="2:2" x14ac:dyDescent="0.3">
      <c r="B25" s="38"/>
    </row>
    <row r="26" spans="2:2" x14ac:dyDescent="0.3">
      <c r="B26" s="39" t="s">
        <v>49</v>
      </c>
    </row>
    <row r="27" spans="2:2" x14ac:dyDescent="0.3">
      <c r="B27" s="38" t="s">
        <v>50</v>
      </c>
    </row>
    <row r="28" spans="2:2" x14ac:dyDescent="0.3">
      <c r="B28" s="38" t="s">
        <v>51</v>
      </c>
    </row>
    <row r="29" spans="2:2" x14ac:dyDescent="0.3">
      <c r="B29" s="38" t="s">
        <v>52</v>
      </c>
    </row>
    <row r="30" spans="2:2" x14ac:dyDescent="0.3">
      <c r="B30" s="38" t="s">
        <v>53</v>
      </c>
    </row>
    <row r="31" spans="2:2" x14ac:dyDescent="0.3">
      <c r="B31" s="38" t="s">
        <v>54</v>
      </c>
    </row>
    <row r="32" spans="2:2" x14ac:dyDescent="0.3">
      <c r="B32" s="38" t="s">
        <v>55</v>
      </c>
    </row>
    <row r="34" spans="2:2" x14ac:dyDescent="0.3">
      <c r="B34" s="39" t="s">
        <v>56</v>
      </c>
    </row>
    <row r="35" spans="2:2" x14ac:dyDescent="0.3">
      <c r="B35" s="38" t="s">
        <v>57</v>
      </c>
    </row>
    <row r="36" spans="2:2" x14ac:dyDescent="0.3">
      <c r="B36" s="38" t="s">
        <v>58</v>
      </c>
    </row>
    <row r="37" spans="2:2" x14ac:dyDescent="0.3">
      <c r="B37" s="38" t="s">
        <v>59</v>
      </c>
    </row>
    <row r="38" spans="2:2" x14ac:dyDescent="0.3">
      <c r="B38" s="38" t="s">
        <v>60</v>
      </c>
    </row>
    <row r="39" spans="2:2" x14ac:dyDescent="0.3">
      <c r="B39" s="38" t="s">
        <v>61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34"/>
  <sheetViews>
    <sheetView tabSelected="1" zoomScale="85" zoomScaleNormal="85" workbookViewId="0">
      <selection activeCell="C3" sqref="C3"/>
    </sheetView>
  </sheetViews>
  <sheetFormatPr defaultRowHeight="16.5" x14ac:dyDescent="0.3"/>
  <cols>
    <col min="1" max="2" width="9" style="8" customWidth="1"/>
    <col min="3" max="3" width="9.125" style="8" customWidth="1"/>
    <col min="4" max="7" width="9" style="8" customWidth="1"/>
    <col min="8" max="10" width="9" style="8"/>
    <col min="11" max="11" width="9" style="8" customWidth="1"/>
    <col min="12" max="13" width="9" style="8" hidden="1" customWidth="1"/>
    <col min="14" max="15" width="11.625" style="8" customWidth="1"/>
    <col min="16" max="17" width="16.375" style="8" customWidth="1"/>
    <col min="18" max="19" width="17.375" style="8" customWidth="1"/>
    <col min="20" max="20" width="20.875" style="8" customWidth="1"/>
    <col min="21" max="21" width="18.25" style="8" customWidth="1"/>
    <col min="22" max="16384" width="9" style="8"/>
  </cols>
  <sheetData>
    <row r="1" spans="1:39" ht="26.25" x14ac:dyDescent="0.45">
      <c r="A1" s="19" t="s">
        <v>91</v>
      </c>
      <c r="B1" s="18"/>
      <c r="C1" s="18"/>
      <c r="D1" s="9"/>
      <c r="E1" s="9"/>
      <c r="F1" s="9"/>
      <c r="G1" s="9"/>
      <c r="H1" s="42"/>
      <c r="I1" s="9"/>
      <c r="J1" s="9"/>
      <c r="K1" s="10"/>
      <c r="L1" s="9"/>
      <c r="M1" s="9"/>
      <c r="N1" s="9"/>
      <c r="O1" s="9"/>
      <c r="P1" s="9"/>
      <c r="Q1" s="9"/>
      <c r="R1" s="9"/>
      <c r="S1" s="9"/>
    </row>
    <row r="2" spans="1:39" ht="26.25" x14ac:dyDescent="0.45">
      <c r="A2" s="19"/>
      <c r="B2" s="18"/>
      <c r="C2" s="18"/>
      <c r="D2" s="9"/>
      <c r="E2" s="9"/>
      <c r="F2" s="9"/>
      <c r="G2" s="9"/>
      <c r="H2" s="61" t="s">
        <v>35</v>
      </c>
      <c r="I2" s="61" t="s">
        <v>36</v>
      </c>
      <c r="J2" s="61" t="s">
        <v>37</v>
      </c>
      <c r="K2" s="61" t="s">
        <v>0</v>
      </c>
      <c r="L2" s="61" t="s">
        <v>1</v>
      </c>
      <c r="M2" s="61" t="s">
        <v>2</v>
      </c>
      <c r="N2" s="61" t="s">
        <v>43</v>
      </c>
      <c r="O2" s="61" t="s">
        <v>44</v>
      </c>
      <c r="P2" s="56" t="s">
        <v>72</v>
      </c>
      <c r="Q2" s="57"/>
      <c r="R2" s="56" t="s">
        <v>73</v>
      </c>
      <c r="S2" s="57"/>
      <c r="T2" s="56" t="s">
        <v>71</v>
      </c>
      <c r="U2" s="57"/>
    </row>
    <row r="3" spans="1:39" ht="27" x14ac:dyDescent="0.25">
      <c r="A3" s="9"/>
      <c r="B3" s="9"/>
      <c r="C3" s="9"/>
      <c r="D3" s="9"/>
      <c r="E3" s="9"/>
      <c r="F3" s="9"/>
      <c r="G3" s="9"/>
      <c r="H3" s="62"/>
      <c r="I3" s="62"/>
      <c r="J3" s="62"/>
      <c r="K3" s="62"/>
      <c r="L3" s="62"/>
      <c r="M3" s="62"/>
      <c r="N3" s="62"/>
      <c r="O3" s="62"/>
      <c r="P3" s="33" t="s">
        <v>74</v>
      </c>
      <c r="Q3" s="2" t="s">
        <v>75</v>
      </c>
      <c r="R3" s="33" t="s">
        <v>74</v>
      </c>
      <c r="S3" s="2" t="s">
        <v>75</v>
      </c>
      <c r="T3" s="1" t="s">
        <v>76</v>
      </c>
      <c r="U3" s="1" t="s">
        <v>77</v>
      </c>
    </row>
    <row r="4" spans="1:39" x14ac:dyDescent="0.3">
      <c r="A4" s="52" t="s">
        <v>29</v>
      </c>
      <c r="B4" s="52"/>
      <c r="C4" s="9"/>
      <c r="D4" s="9"/>
      <c r="E4" s="9"/>
      <c r="F4" s="58" t="s">
        <v>3</v>
      </c>
      <c r="G4" s="47" t="s">
        <v>4</v>
      </c>
      <c r="H4" s="26"/>
      <c r="I4" s="26"/>
      <c r="J4" s="26"/>
      <c r="K4" s="4">
        <v>5</v>
      </c>
      <c r="L4" s="5">
        <f>(IF(J4=2,1.23*0.8,1.23))</f>
        <v>1.23</v>
      </c>
      <c r="M4" s="5">
        <f t="shared" ref="M4:M11" si="0">(K4*(1-$C$20)+L4*(1-$B$20))</f>
        <v>6.23</v>
      </c>
      <c r="N4" s="40">
        <f>511+(($B$9+$B$11)*$B$10*0.001525)*2.5</f>
        <v>2086.2106249999997</v>
      </c>
      <c r="O4" s="14">
        <f>+N4/M4</f>
        <v>334.86526886035307</v>
      </c>
      <c r="P4" s="34">
        <f>(N4*(1+$A$20)*(((IF(H4=1,'트포별 계수'!D3,(IF(H4=2,'트포별 계수'!E3,(IF(H4=3,'트포별 계수'!F3,1))))))*(IF(I4=1,'트포별 계수'!G3,(IF(I4=2,'트포별 계수'!H3,(IF(I4=3,'트포별 계수'!I3,1))))))*(IF(J4=1,'트포별 계수'!J3,(IF(J4=2,'트포별 계수'!K3,1)))))))</f>
        <v>2086.2106249999997</v>
      </c>
      <c r="Q4" s="22">
        <f>+P4*0.45</f>
        <v>938.79478124999991</v>
      </c>
      <c r="R4" s="36">
        <f>+P4/M4</f>
        <v>334.86526886035307</v>
      </c>
      <c r="S4" s="16">
        <f>+Q4/M4</f>
        <v>150.6893709871589</v>
      </c>
      <c r="T4" s="48">
        <f>+IF(I4=1,6.47%,4.94%)*(1+$E$20)</f>
        <v>4.9400000000000006E-2</v>
      </c>
      <c r="U4" s="48">
        <f>+T4/L4</f>
        <v>4.0162601626016266E-2</v>
      </c>
      <c r="X4" s="12"/>
    </row>
    <row r="5" spans="1:39" x14ac:dyDescent="0.3">
      <c r="A5" s="6" t="s">
        <v>5</v>
      </c>
      <c r="B5" s="44">
        <v>0</v>
      </c>
      <c r="C5" s="9"/>
      <c r="D5" s="9"/>
      <c r="E5" s="9"/>
      <c r="F5" s="59"/>
      <c r="G5" s="47" t="s">
        <v>6</v>
      </c>
      <c r="H5" s="26"/>
      <c r="I5" s="26"/>
      <c r="J5" s="26"/>
      <c r="K5" s="4">
        <v>8</v>
      </c>
      <c r="L5" s="5">
        <v>1.8</v>
      </c>
      <c r="M5" s="5">
        <f t="shared" si="0"/>
        <v>9.8000000000000007</v>
      </c>
      <c r="N5" s="40">
        <f>741+(($B$9+$B$11)*$B$10*0.001525)*3.25</f>
        <v>2788.7738125000001</v>
      </c>
      <c r="O5" s="14">
        <f t="shared" ref="O5:O20" si="1">+N5/M5</f>
        <v>284.56875637755098</v>
      </c>
      <c r="P5" s="34">
        <f>(N5*(1+$A$20*(IF(H5=3,1.5,1)))*(((IF(H5=1,'트포별 계수'!D4,(IF(H5=2,'트포별 계수'!E4,(IF(H5=3,'트포별 계수'!F4,1))))))*(IF(I5=1,'트포별 계수'!G4,(IF(I5=2,'트포별 계수'!H4,(IF(I5=3,'트포별 계수'!I4,1))))))*(IF(J5=1,'트포별 계수'!J4,(IF(J5=2,'트포별 계수'!K4,1)))))))+(IF(H5=1,N5*0.18,0))</f>
        <v>2788.7738125000001</v>
      </c>
      <c r="Q5" s="22">
        <f t="shared" ref="Q5:Q11" si="2">+P5*0.45</f>
        <v>1254.9482156250001</v>
      </c>
      <c r="R5" s="36">
        <f t="shared" ref="R5:R11" si="3">+P5/M5</f>
        <v>284.56875637755098</v>
      </c>
      <c r="S5" s="16">
        <f t="shared" ref="S5:S11" si="4">+Q5/M5</f>
        <v>128.05594036989797</v>
      </c>
      <c r="T5" s="48">
        <f>+IF(J5=1,10.71%,7.11%)*(1+$E$20)</f>
        <v>7.1099999999999997E-2</v>
      </c>
      <c r="U5" s="48">
        <f t="shared" ref="U5:U11" si="5">+T5/L5</f>
        <v>3.95E-2</v>
      </c>
      <c r="X5" s="12"/>
    </row>
    <row r="6" spans="1:39" x14ac:dyDescent="0.3">
      <c r="A6" s="6" t="s">
        <v>7</v>
      </c>
      <c r="B6" s="44">
        <v>0</v>
      </c>
      <c r="C6" s="9"/>
      <c r="D6" s="9"/>
      <c r="E6" s="9"/>
      <c r="F6" s="59"/>
      <c r="G6" s="47" t="s">
        <v>8</v>
      </c>
      <c r="H6" s="26"/>
      <c r="I6" s="26"/>
      <c r="J6" s="26"/>
      <c r="K6" s="4">
        <v>8</v>
      </c>
      <c r="L6" s="5">
        <v>1.6</v>
      </c>
      <c r="M6" s="5">
        <f t="shared" si="0"/>
        <v>9.6</v>
      </c>
      <c r="N6" s="40">
        <f>402+(($B$9+$B$11)*$B$10*0.001525)*2.85</f>
        <v>2197.7401125000001</v>
      </c>
      <c r="O6" s="14">
        <f t="shared" si="1"/>
        <v>228.93126171875002</v>
      </c>
      <c r="P6" s="34">
        <f>(N6*(1+$A$20)*(((IF(H6=1,'트포별 계수'!D5,(IF(H6=2,'트포별 계수'!E5,(IF(H6=3,'트포별 계수'!F5,1))))))*(IF(I6=1,'트포별 계수'!G5,(IF(I6=2,'트포별 계수'!H5,(IF(I6=3,'트포별 계수'!I5,1))))))*(IF(J6=1,'트포별 계수'!J5,(IF(J6=2,'트포별 계수'!K5,1)))))))</f>
        <v>2197.7401125000001</v>
      </c>
      <c r="Q6" s="22">
        <f t="shared" si="2"/>
        <v>988.98305062500003</v>
      </c>
      <c r="R6" s="36">
        <f t="shared" si="3"/>
        <v>228.93126171875002</v>
      </c>
      <c r="S6" s="16">
        <f t="shared" si="4"/>
        <v>103.01906777343751</v>
      </c>
      <c r="T6" s="48">
        <f>+IF(J6=2,7.63%,5.06%)*(1+$E$20)</f>
        <v>5.0599999999999999E-2</v>
      </c>
      <c r="U6" s="48">
        <f t="shared" si="5"/>
        <v>3.1625E-2</v>
      </c>
      <c r="X6" s="12"/>
    </row>
    <row r="7" spans="1:39" x14ac:dyDescent="0.3">
      <c r="A7" s="6" t="s">
        <v>9</v>
      </c>
      <c r="B7" s="44">
        <v>397</v>
      </c>
      <c r="C7" s="9"/>
      <c r="D7" s="9"/>
      <c r="E7" s="9"/>
      <c r="F7" s="59"/>
      <c r="G7" s="47" t="s">
        <v>10</v>
      </c>
      <c r="H7" s="26"/>
      <c r="I7" s="26"/>
      <c r="J7" s="26"/>
      <c r="K7" s="4">
        <v>16</v>
      </c>
      <c r="L7" s="5">
        <v>1.26</v>
      </c>
      <c r="M7" s="5">
        <f t="shared" si="0"/>
        <v>17.260000000000002</v>
      </c>
      <c r="N7" s="40">
        <f>1177+(($B$8+$B$10)*$B$9*0.001525)*5.5</f>
        <v>4642.4633749999994</v>
      </c>
      <c r="O7" s="14">
        <f t="shared" si="1"/>
        <v>268.97238557358048</v>
      </c>
      <c r="P7" s="34">
        <f>(N7*(1+$A$20)*(((IF(H7=1,'트포별 계수'!D6,(IF(H7=2,'트포별 계수'!E6,(IF(H7=3,'트포별 계수'!F6,1))))))*(IF(I7=1,'트포별 계수'!G6,(IF(I7=2,'트포별 계수'!H6,(IF(I7=3,'트포별 계수'!I6,1))))))*(IF(J7=1,'트포별 계수'!J6,(IF(J7=2,'트포별 계수'!K6,1)))))))+(IF(I7=2,N7*0.48,0))</f>
        <v>4642.4633749999994</v>
      </c>
      <c r="Q7" s="22">
        <f t="shared" si="2"/>
        <v>2089.1085187499998</v>
      </c>
      <c r="R7" s="36">
        <f t="shared" si="3"/>
        <v>268.97238557358048</v>
      </c>
      <c r="S7" s="16">
        <f t="shared" si="4"/>
        <v>121.03757350811122</v>
      </c>
      <c r="T7" s="48">
        <f>+IF(I7=2,15.02%,10.02%)*(1+$E$20)</f>
        <v>0.1002</v>
      </c>
      <c r="U7" s="48">
        <f t="shared" si="5"/>
        <v>7.9523809523809524E-2</v>
      </c>
      <c r="X7" s="12"/>
    </row>
    <row r="8" spans="1:39" x14ac:dyDescent="0.3">
      <c r="A8" s="6" t="s">
        <v>89</v>
      </c>
      <c r="B8" s="44"/>
      <c r="C8" s="17" t="s">
        <v>30</v>
      </c>
      <c r="D8" s="9"/>
      <c r="E8" s="9"/>
      <c r="F8" s="59"/>
      <c r="G8" s="47" t="s">
        <v>11</v>
      </c>
      <c r="H8" s="26"/>
      <c r="I8" s="26"/>
      <c r="J8" s="26"/>
      <c r="K8" s="4">
        <v>16</v>
      </c>
      <c r="L8" s="5">
        <v>1.1000000000000001</v>
      </c>
      <c r="M8" s="5">
        <f t="shared" si="0"/>
        <v>17.100000000000001</v>
      </c>
      <c r="N8" s="40">
        <f>1006+(($B$9+$B$11)*$B$10*0.001525)*4.7</f>
        <v>3967.3959749999999</v>
      </c>
      <c r="O8" s="14">
        <f t="shared" si="1"/>
        <v>232.01146052631577</v>
      </c>
      <c r="P8" s="34">
        <f>(N8*(1+$A$20)*(((IF(H8=1,'트포별 계수'!D7,(IF(H8=2,'트포별 계수'!E7,(IF(H8=3,'트포별 계수'!F7,1))))))*(IF(I8=1,'트포별 계수'!G7,(IF(I8=2,'트포별 계수'!H7,(IF(I8=3,'트포별 계수'!I7,1))))))*(IF(J8=1,'트포별 계수'!J7,(IF(J8=2,'트포별 계수'!K7,1)))))))+(IF(H8=2,N8*0.15,0))</f>
        <v>3967.3959749999999</v>
      </c>
      <c r="Q8" s="22">
        <f t="shared" si="2"/>
        <v>1785.32818875</v>
      </c>
      <c r="R8" s="36">
        <f t="shared" si="3"/>
        <v>232.01146052631577</v>
      </c>
      <c r="S8" s="16">
        <f t="shared" si="4"/>
        <v>104.4051572368421</v>
      </c>
      <c r="T8" s="48">
        <f>+IF(AND(I8=3,J8=1),14.27%,IF(I8=3,9.98%,IF(J8=1,11.42%,7.16%)))*(1+$E$20)</f>
        <v>7.1599999999999997E-2</v>
      </c>
      <c r="U8" s="48">
        <f t="shared" si="5"/>
        <v>6.5090909090909088E-2</v>
      </c>
      <c r="X8" s="12"/>
      <c r="AM8" s="50"/>
    </row>
    <row r="9" spans="1:39" x14ac:dyDescent="0.3">
      <c r="A9" s="30" t="s">
        <v>27</v>
      </c>
      <c r="B9" s="43">
        <v>261.5</v>
      </c>
      <c r="C9"/>
      <c r="D9"/>
      <c r="E9" s="9"/>
      <c r="F9" s="59"/>
      <c r="G9" s="47" t="s">
        <v>16</v>
      </c>
      <c r="H9" s="26"/>
      <c r="I9" s="26"/>
      <c r="J9" s="26"/>
      <c r="K9" s="4">
        <v>16</v>
      </c>
      <c r="L9" s="5">
        <v>2.4</v>
      </c>
      <c r="M9" s="5">
        <f t="shared" si="0"/>
        <v>18.399999999999999</v>
      </c>
      <c r="N9" s="40">
        <f>1328+(($B$9+$B$11)*$B$10*0.001525)*6.79</f>
        <v>5606.2720575000003</v>
      </c>
      <c r="O9" s="14">
        <f t="shared" si="1"/>
        <v>304.68869877717395</v>
      </c>
      <c r="P9" s="34">
        <f>(N9*(1+$A$20)*(((IF(H9=1,'트포별 계수'!D8,(IF(H9=2,'트포별 계수'!E8,(IF(H9=3,'트포별 계수'!F8,1))))))*(IF(I9=1,'트포별 계수'!G8,(IF(I9=2,'트포별 계수'!H8,(IF(I9=3,'트포별 계수'!I8,1))))))*(IF(J9=1,'트포별 계수'!J8,(IF(J9=2,'트포별 계수'!K8,1)))))))+(IF(H9=2,N9*0.18,0))</f>
        <v>5606.2720575000003</v>
      </c>
      <c r="Q9" s="22">
        <f t="shared" si="2"/>
        <v>2522.8224258750001</v>
      </c>
      <c r="R9" s="36">
        <f t="shared" si="3"/>
        <v>304.68869877717395</v>
      </c>
      <c r="S9" s="16">
        <f t="shared" si="4"/>
        <v>137.10991444972828</v>
      </c>
      <c r="T9" s="48">
        <f>+IF(AND(I9=1,J9=2),14.93%,IF(I9=1,10.97%,IF(J9=2,13.06%,9.7%)))*(1+$E$20)</f>
        <v>9.6999999999999989E-2</v>
      </c>
      <c r="U9" s="48">
        <f t="shared" si="5"/>
        <v>4.0416666666666663E-2</v>
      </c>
      <c r="X9" s="12"/>
      <c r="AM9" s="50"/>
    </row>
    <row r="10" spans="1:39" x14ac:dyDescent="0.3">
      <c r="A10" s="11" t="s">
        <v>28</v>
      </c>
      <c r="B10" s="44">
        <v>1580</v>
      </c>
      <c r="C10" s="17" t="s">
        <v>41</v>
      </c>
      <c r="D10"/>
      <c r="E10" s="9"/>
      <c r="F10" s="59"/>
      <c r="G10" s="47" t="s">
        <v>17</v>
      </c>
      <c r="H10" s="26"/>
      <c r="I10" s="26"/>
      <c r="J10" s="26"/>
      <c r="K10" s="4">
        <v>24</v>
      </c>
      <c r="L10" s="5">
        <f>IF(J10=2,5.65*2*0.8,5.65)</f>
        <v>5.65</v>
      </c>
      <c r="M10" s="5">
        <f t="shared" si="0"/>
        <v>29.65</v>
      </c>
      <c r="N10" s="40">
        <f>2780+(($B$9+$B$11)*$B$10*0.001525)*13.5</f>
        <v>11286.137375</v>
      </c>
      <c r="O10" s="14">
        <f t="shared" si="1"/>
        <v>380.64544266441823</v>
      </c>
      <c r="P10" s="34">
        <f>(N10*(1+$A$20+(IF(H10=1,0.15,0)))*(((IF(H10=1,'트포별 계수'!D9,(IF(H10=2,'트포별 계수'!E9,(IF(H10=3,'트포별 계수'!F9,1))))))*(IF(I10=1,'트포별 계수'!G9,(IF(I10=2,'트포별 계수'!H9,(IF(I10=3,'트포별 계수'!I9,1))))))*(IF(J10=1,'트포별 계수'!J9,(IF(J10=2,'트포별 계수'!K9,1)))))))</f>
        <v>11286.137375</v>
      </c>
      <c r="Q10" s="22">
        <f t="shared" si="2"/>
        <v>5078.7618187500002</v>
      </c>
      <c r="R10" s="36">
        <f t="shared" si="3"/>
        <v>380.64544266441823</v>
      </c>
      <c r="S10" s="16">
        <f t="shared" si="4"/>
        <v>171.2904491989882</v>
      </c>
      <c r="T10" s="48">
        <f>+IF(J10=1,19.22%,IF(J10=2,24.63%,13.62%))*(1+$E$20)</f>
        <v>0.13619999999999999</v>
      </c>
      <c r="U10" s="48">
        <f t="shared" si="5"/>
        <v>2.4106194690265485E-2</v>
      </c>
      <c r="X10" s="12"/>
      <c r="AM10" s="50"/>
    </row>
    <row r="11" spans="1:39" x14ac:dyDescent="0.3">
      <c r="A11" s="30" t="s">
        <v>40</v>
      </c>
      <c r="B11" s="43">
        <v>0</v>
      </c>
      <c r="C11" s="9"/>
      <c r="D11" s="9"/>
      <c r="E11" s="9"/>
      <c r="F11" s="60"/>
      <c r="G11" s="47" t="s">
        <v>18</v>
      </c>
      <c r="H11" s="26"/>
      <c r="I11" s="26"/>
      <c r="J11" s="26"/>
      <c r="K11" s="4">
        <f>+IF(I11=3,10,16)</f>
        <v>16</v>
      </c>
      <c r="L11" s="5">
        <f>IF(J11=1,1.25*0.8,1.25)</f>
        <v>1.25</v>
      </c>
      <c r="M11" s="5">
        <f t="shared" si="0"/>
        <v>17.25</v>
      </c>
      <c r="N11" s="40">
        <f>1156+(($B$9+$B$11)*$B$10*0.001525)*5.9</f>
        <v>4873.4970750000002</v>
      </c>
      <c r="O11" s="14">
        <f t="shared" si="1"/>
        <v>282.52156956521742</v>
      </c>
      <c r="P11" s="34">
        <f>(N11*(1+$A$20)*(((IF(H11=1,'트포별 계수'!D10,(IF(H11=2,'트포별 계수'!E10,(IF(H11=3,'트포별 계수'!F10,1))))))*(IF(I11=1,'트포별 계수'!G10,(IF(I11=2,'트포별 계수'!H10,(IF(I11=3,'트포별 계수'!I10,1))))))*(IF(J11=1,'트포별 계수'!J10,(IF(J11=2,'트포별 계수'!K10,1)))))))</f>
        <v>4873.4970750000002</v>
      </c>
      <c r="Q11" s="22">
        <f t="shared" si="2"/>
        <v>2193.0736837500003</v>
      </c>
      <c r="R11" s="36">
        <f t="shared" si="3"/>
        <v>282.52156956521742</v>
      </c>
      <c r="S11" s="16">
        <f t="shared" si="4"/>
        <v>127.13470630434784</v>
      </c>
      <c r="T11" s="48">
        <f>7.15%*(1+$E$20)</f>
        <v>7.1500000000000008E-2</v>
      </c>
      <c r="U11" s="48">
        <f t="shared" si="5"/>
        <v>5.7200000000000008E-2</v>
      </c>
      <c r="X11" s="12"/>
      <c r="AM11" s="50"/>
    </row>
    <row r="12" spans="1:39" x14ac:dyDescent="0.25">
      <c r="A12" s="42" t="s">
        <v>42</v>
      </c>
      <c r="B12" s="9"/>
      <c r="C12" s="9"/>
      <c r="D12" s="9"/>
      <c r="E12" s="9"/>
      <c r="F12" s="9"/>
      <c r="G12" s="9"/>
      <c r="H12" s="27"/>
      <c r="I12" s="27"/>
      <c r="J12" s="27"/>
      <c r="K12" s="9"/>
      <c r="L12" s="9"/>
      <c r="M12" s="9"/>
      <c r="N12" s="41"/>
      <c r="O12" s="15"/>
      <c r="P12" s="35"/>
      <c r="Q12" s="23"/>
      <c r="R12" s="37"/>
      <c r="S12" s="13"/>
      <c r="T12" s="49"/>
      <c r="U12" s="49"/>
      <c r="X12" s="12"/>
    </row>
    <row r="13" spans="1:39" x14ac:dyDescent="0.3">
      <c r="A13" s="42" t="s">
        <v>45</v>
      </c>
      <c r="B13" s="28"/>
      <c r="C13" s="28"/>
      <c r="D13" s="28"/>
      <c r="E13" s="28"/>
      <c r="F13" s="58" t="s">
        <v>19</v>
      </c>
      <c r="G13" s="47" t="s">
        <v>20</v>
      </c>
      <c r="H13" s="26"/>
      <c r="I13" s="26"/>
      <c r="J13" s="26"/>
      <c r="K13" s="4">
        <f>+IF(I13=2,14,6)</f>
        <v>6</v>
      </c>
      <c r="L13" s="5">
        <f>(IF(H13=3,1.48*0.9,1.48))</f>
        <v>1.48</v>
      </c>
      <c r="M13" s="5">
        <f t="shared" ref="M13:M20" si="6">(K13*(1-$C$20)+L13*(1-$B$20))</f>
        <v>7.48</v>
      </c>
      <c r="N13" s="40">
        <f>698+(($B$9+$B$11)*$B$10*0.001525)*3.74</f>
        <v>3054.5150950000002</v>
      </c>
      <c r="O13" s="14">
        <f t="shared" si="1"/>
        <v>408.35763302139037</v>
      </c>
      <c r="P13" s="34">
        <f>(N13*(1+$A$20+(IF(H13=1,0.15,0)))*(1+$D$20)*(IF(H13=1,'트포별 계수'!D12,(IF(H13=2,'트포별 계수'!E12,(IF(H13=3,'트포별 계수'!F12,1))))))*(IF(I13=1,'트포별 계수'!G12,(IF(I13=2,'트포별 계수'!H12,(IF(I13=3,'트포별 계수'!I12,1))))))*(IF(J13=1,'트포별 계수'!J12,(IF(J13=2,'트포별 계수'!K12,1)))))</f>
        <v>3745.7213158475506</v>
      </c>
      <c r="Q13" s="22">
        <f t="shared" ref="Q13:Q20" si="7">+P13*0.45</f>
        <v>1685.5745921313978</v>
      </c>
      <c r="R13" s="36">
        <f t="shared" ref="R13:R20" si="8">+P13/M13</f>
        <v>500.76488179780085</v>
      </c>
      <c r="S13" s="16">
        <f t="shared" ref="S13:S20" si="9">+Q13/M13</f>
        <v>225.34419680901038</v>
      </c>
      <c r="T13" s="48">
        <f>+IF(AND(I13=2,J13=1),18.47%,IF(I13=2,10.24%,IF(J13=1,9.2%,5.11%)))*(1+$E$20)</f>
        <v>5.1100000000000007E-2</v>
      </c>
      <c r="U13" s="48">
        <f t="shared" ref="U13:U20" si="10">+T13/L13</f>
        <v>3.4527027027027035E-2</v>
      </c>
      <c r="X13" s="12"/>
    </row>
    <row r="14" spans="1:39" x14ac:dyDescent="0.3">
      <c r="A14" s="42" t="s">
        <v>69</v>
      </c>
      <c r="B14" s="28"/>
      <c r="C14" s="28"/>
      <c r="D14" s="28"/>
      <c r="E14" s="28"/>
      <c r="F14" s="59"/>
      <c r="G14" s="47" t="s">
        <v>21</v>
      </c>
      <c r="H14" s="26"/>
      <c r="I14" s="26"/>
      <c r="J14" s="26"/>
      <c r="K14" s="4">
        <v>8</v>
      </c>
      <c r="L14" s="5">
        <v>0.72</v>
      </c>
      <c r="M14" s="5">
        <f t="shared" si="6"/>
        <v>8.7200000000000006</v>
      </c>
      <c r="N14" s="40">
        <f>884+(($B$9+$B$11)*$B$10*0.001525)*4.9</f>
        <v>3971.4128250000003</v>
      </c>
      <c r="O14" s="14">
        <f t="shared" si="1"/>
        <v>455.43725057339452</v>
      </c>
      <c r="P14" s="34">
        <f>(N14*(1+$A$20)*(1+$D$20)*(((IF(H14=1,'트포별 계수'!D13,(IF(H14=2,'트포별 계수'!E13,(IF(H14=3,'트포별 계수'!F13,1))))))*(IF(I14=1,'트포별 계수'!G13,(IF(I14=2,'트포별 계수'!H13,(IF(I14=3,'트포별 계수'!I13,1))))))*(IF(J14=1,'트포별 계수'!J13,(IF(J14=2,'트포별 계수'!K13,1)))))))+(IF(H14=3,N14*0.28,0))</f>
        <v>4870.1038331692507</v>
      </c>
      <c r="Q14" s="22">
        <f t="shared" si="7"/>
        <v>2191.5467249261628</v>
      </c>
      <c r="R14" s="36">
        <f t="shared" si="8"/>
        <v>558.49814600564798</v>
      </c>
      <c r="S14" s="16">
        <f t="shared" si="9"/>
        <v>251.32416570254159</v>
      </c>
      <c r="T14" s="48">
        <f>+IF(I14=1,6.51%,IF(I14=2,5.86%,5.11%))*(1+$E$20)</f>
        <v>5.1100000000000007E-2</v>
      </c>
      <c r="U14" s="48">
        <f t="shared" si="10"/>
        <v>7.0972222222222228E-2</v>
      </c>
      <c r="X14" s="12"/>
    </row>
    <row r="15" spans="1:39" x14ac:dyDescent="0.3">
      <c r="A15" s="42" t="s">
        <v>70</v>
      </c>
      <c r="B15" s="28"/>
      <c r="C15" s="28"/>
      <c r="D15" s="28"/>
      <c r="E15" s="28"/>
      <c r="F15" s="59"/>
      <c r="G15" s="47" t="s">
        <v>22</v>
      </c>
      <c r="H15" s="26"/>
      <c r="I15" s="26"/>
      <c r="J15" s="26"/>
      <c r="K15" s="4">
        <f>+IF(H15=1,20,IF(H15=3,26,24))</f>
        <v>24</v>
      </c>
      <c r="L15" s="5">
        <f>IF(H15=3,1.6*0.85,1.6)</f>
        <v>1.6</v>
      </c>
      <c r="M15" s="5">
        <f t="shared" si="6"/>
        <v>25.6</v>
      </c>
      <c r="N15" s="40">
        <f>2772+(($B$9+$B$11)*$B$10*0.001525)*13.2</f>
        <v>11089.1121</v>
      </c>
      <c r="O15" s="14">
        <f t="shared" si="1"/>
        <v>433.16844140625</v>
      </c>
      <c r="P15" s="34">
        <f>(((IF(J15=1,N15/16*19,N15)))*(1+$A$20)*(1+$D$20)*(((IF(H15=1,'트포별 계수'!D14,(IF(H15=2,'트포별 계수'!E14,(IF(H15=3,'트포별 계수'!F14,1))))))*(IF(I15=1,'트포별 계수'!G14,(IF(I15=2,'트포별 계수'!H14,(IF(I15=3,'트포별 계수'!I14,1))))))*(IF(J15=1,'트포별 계수'!J14,(IF(J15=2,'트포별 계수'!K14,1)))))))</f>
        <v>13598.467277109001</v>
      </c>
      <c r="Q15" s="22">
        <f t="shared" si="7"/>
        <v>6119.3102746990508</v>
      </c>
      <c r="R15" s="36">
        <f t="shared" si="8"/>
        <v>531.19012801207032</v>
      </c>
      <c r="S15" s="16">
        <f t="shared" si="9"/>
        <v>239.03555760543165</v>
      </c>
      <c r="T15" s="48">
        <f>10.02%*(1+$E$20)</f>
        <v>0.1002</v>
      </c>
      <c r="U15" s="48">
        <f t="shared" si="10"/>
        <v>6.2625E-2</v>
      </c>
      <c r="X15" s="12"/>
    </row>
    <row r="16" spans="1:39" x14ac:dyDescent="0.3">
      <c r="A16" s="42"/>
      <c r="B16" s="28"/>
      <c r="C16" s="28"/>
      <c r="D16" s="28"/>
      <c r="E16" s="28"/>
      <c r="F16" s="59"/>
      <c r="G16" s="47" t="s">
        <v>23</v>
      </c>
      <c r="H16" s="26"/>
      <c r="I16" s="26"/>
      <c r="J16" s="26"/>
      <c r="K16" s="4">
        <f>+IF(H16=1,16,20)</f>
        <v>20</v>
      </c>
      <c r="L16" s="5">
        <v>0.83</v>
      </c>
      <c r="M16" s="5">
        <f t="shared" si="6"/>
        <v>20.83</v>
      </c>
      <c r="N16" s="40">
        <f>2202+(($B$9+$B$11)*$B$10*0.001525)*11.78</f>
        <v>9624.3924650000008</v>
      </c>
      <c r="O16" s="14">
        <f t="shared" si="1"/>
        <v>462.04476548247726</v>
      </c>
      <c r="P16" s="34">
        <f>(N16*(1+$A$20)*(1+$D$20)*(((IF(H16=1,'트포별 계수'!D15,(IF(H16=2,'트포별 계수'!E15,(IF(H16=3,'트포별 계수'!F15,1))))))*(IF(I16=1,'트포별 계수'!G15,(IF(I16=2,'트포별 계수'!H15,(IF(I16=3,'트포별 계수'!I15,1))))))*(IF(J16=1,'트포별 계수'!J15,(IF(J16=2,'트포별 계수'!K15,1)))))))</f>
        <v>11802.296235904852</v>
      </c>
      <c r="Q16" s="22">
        <f t="shared" si="7"/>
        <v>5311.0333061571837</v>
      </c>
      <c r="R16" s="36">
        <f t="shared" si="8"/>
        <v>566.60087546350712</v>
      </c>
      <c r="S16" s="16">
        <f t="shared" si="9"/>
        <v>254.9703939585782</v>
      </c>
      <c r="T16" s="48">
        <f>+IF(J16=1,10.5%,10.02%)*(1+$E$20)</f>
        <v>0.1002</v>
      </c>
      <c r="U16" s="48">
        <f t="shared" si="10"/>
        <v>0.12072289156626506</v>
      </c>
      <c r="X16" s="12"/>
    </row>
    <row r="17" spans="1:24" x14ac:dyDescent="0.3">
      <c r="A17" s="42"/>
      <c r="B17" s="28"/>
      <c r="C17" s="28"/>
      <c r="D17" s="28"/>
      <c r="E17" s="28"/>
      <c r="F17" s="59"/>
      <c r="G17" s="47" t="s">
        <v>24</v>
      </c>
      <c r="H17" s="26"/>
      <c r="I17" s="26"/>
      <c r="J17" s="26"/>
      <c r="K17" s="4">
        <v>30</v>
      </c>
      <c r="L17" s="5">
        <v>3.9</v>
      </c>
      <c r="M17" s="5">
        <f t="shared" si="6"/>
        <v>33.9</v>
      </c>
      <c r="N17" s="40">
        <f>2842+(($B$9+$B$11)*$B$10*0.001525)*13</f>
        <v>11033.09525</v>
      </c>
      <c r="O17" s="14">
        <f t="shared" si="1"/>
        <v>325.46003687315635</v>
      </c>
      <c r="P17" s="34">
        <f>(N17*(1+$A$20)*(1+$D$20)*(((IF(H17=1,'트포별 계수'!D16,(IF(H17=2,'트포별 계수'!E16,(IF(H17=3,'트포별 계수'!F16,1))))))*(IF(I17=1,'트포별 계수'!G16,(IF(I17=2,'트포별 계수'!H16,(IF(I17=3,'트포별 계수'!I16,1))))))*(IF(J17=1,'트포별 계수'!J16,(IF(J17=2,'트포별 계수'!K16,1)))))))+(IF(I17=3,N17*0.55,0))</f>
        <v>13529.774374122502</v>
      </c>
      <c r="Q17" s="22">
        <f t="shared" si="7"/>
        <v>6088.3984683551262</v>
      </c>
      <c r="R17" s="36">
        <f t="shared" si="8"/>
        <v>399.10838861718298</v>
      </c>
      <c r="S17" s="16">
        <f t="shared" si="9"/>
        <v>179.59877487773235</v>
      </c>
      <c r="T17" s="48">
        <f>+IF(H17=1,17.44%,IF(H17=3,16.46%,13.96%))*(1+$E$20)</f>
        <v>0.1396</v>
      </c>
      <c r="U17" s="48">
        <f t="shared" si="10"/>
        <v>3.5794871794871799E-2</v>
      </c>
      <c r="X17" s="12"/>
    </row>
    <row r="18" spans="1:24" x14ac:dyDescent="0.3">
      <c r="A18" s="42"/>
      <c r="B18" s="9"/>
      <c r="C18" s="9"/>
      <c r="D18" s="9"/>
      <c r="E18" s="9"/>
      <c r="F18" s="59"/>
      <c r="G18" s="47" t="s">
        <v>25</v>
      </c>
      <c r="H18" s="26"/>
      <c r="I18" s="26"/>
      <c r="J18" s="26"/>
      <c r="K18" s="4">
        <v>24</v>
      </c>
      <c r="L18" s="5">
        <v>2.2000000000000002</v>
      </c>
      <c r="M18" s="5">
        <f t="shared" si="6"/>
        <v>26.2</v>
      </c>
      <c r="N18" s="40">
        <f>2068+(($B$9+$B$11)*$B$10*0.001525)*9.5</f>
        <v>8053.8003749999998</v>
      </c>
      <c r="O18" s="14">
        <f t="shared" si="1"/>
        <v>307.39696087786257</v>
      </c>
      <c r="P18" s="34">
        <f>(N18*(1+$A$20)*(1+$D$20)*(((IF(H18=1,'트포별 계수'!D17,(IF(H18=2,'트포별 계수'!E17,(IF(H18=3,'트포별 계수'!F17,1))))))*(IF(I18=1,'트포별 계수'!G17,(IF(I18=2,'트포별 계수'!H17,(IF(I18=3,'트포별 계수'!I17,1))))))*(IF(J18=1,'트포별 계수'!J17,(IF(J18=2,'트포별 계수'!K17,1)))))))+(IF(H18=2,N18*0.27,0))</f>
        <v>9876.2948618587507</v>
      </c>
      <c r="Q18" s="22">
        <f t="shared" si="7"/>
        <v>4444.3326878364378</v>
      </c>
      <c r="R18" s="36">
        <f t="shared" si="8"/>
        <v>376.95781915491415</v>
      </c>
      <c r="S18" s="16">
        <f t="shared" si="9"/>
        <v>169.63101861971137</v>
      </c>
      <c r="T18" s="48">
        <f>+IF(H18=1,11.44%,IF(H18=3,10.45%,9.96%))*(1+$E$20)</f>
        <v>9.9600000000000008E-2</v>
      </c>
      <c r="U18" s="48">
        <f t="shared" si="10"/>
        <v>4.527272727272727E-2</v>
      </c>
      <c r="X18" s="12"/>
    </row>
    <row r="19" spans="1:24" x14ac:dyDescent="0.3">
      <c r="A19" s="47" t="s">
        <v>12</v>
      </c>
      <c r="B19" s="47" t="s">
        <v>13</v>
      </c>
      <c r="C19" s="47" t="s">
        <v>14</v>
      </c>
      <c r="D19" s="47" t="s">
        <v>15</v>
      </c>
      <c r="E19" s="51" t="s">
        <v>90</v>
      </c>
      <c r="F19" s="59"/>
      <c r="G19" s="47" t="s">
        <v>6</v>
      </c>
      <c r="H19" s="26"/>
      <c r="I19" s="26"/>
      <c r="J19" s="26"/>
      <c r="K19" s="4">
        <v>24</v>
      </c>
      <c r="L19" s="5">
        <f>IF(J19=1,1.3*0.7,1.3)</f>
        <v>1.3</v>
      </c>
      <c r="M19" s="5">
        <f t="shared" si="6"/>
        <v>25.3</v>
      </c>
      <c r="N19" s="40">
        <f>3142+(($B$9+$B$11)*$B$10*0.001525)*15</f>
        <v>12593.26375</v>
      </c>
      <c r="O19" s="14">
        <f t="shared" si="1"/>
        <v>497.75746047430829</v>
      </c>
      <c r="P19" s="34">
        <f>((IF(I19=1,N19/16*18,N19))*(1+$A$20)*(1+$D$20)*(((IF(H19=1,'트포별 계수'!D18,(IF(H19=2,'트포별 계수'!E18,(IF(H19=3,'트포별 계수'!F18,1))))))*(IF(I19=1,'트포별 계수'!G18,(IF(I19=2,'트포별 계수'!H18,(IF(I19=3,'트포별 계수'!I18,1))))))*(IF(J19=1,'트포별 계수'!J18,(IF(J19=2,'트포별 계수'!K18,1)))))))+(IF(H19=1,N19*0.18,0))</f>
        <v>15442.993403987501</v>
      </c>
      <c r="Q19" s="22">
        <f t="shared" si="7"/>
        <v>6949.3470317943757</v>
      </c>
      <c r="R19" s="36">
        <f t="shared" si="8"/>
        <v>610.39499620503955</v>
      </c>
      <c r="S19" s="16">
        <f t="shared" si="9"/>
        <v>274.67774829226778</v>
      </c>
      <c r="T19" s="48">
        <f>9.98%*(1+$E$20)</f>
        <v>9.98E-2</v>
      </c>
      <c r="U19" s="48">
        <f t="shared" si="10"/>
        <v>7.676923076923077E-2</v>
      </c>
      <c r="X19" s="12"/>
    </row>
    <row r="20" spans="1:24" x14ac:dyDescent="0.3">
      <c r="A20" s="7">
        <f>+B5*0.0357/100</f>
        <v>0</v>
      </c>
      <c r="B20" s="7">
        <f>+B6*0.0171/100</f>
        <v>0</v>
      </c>
      <c r="C20" s="7">
        <f>+B6*0.0215/100</f>
        <v>0</v>
      </c>
      <c r="D20" s="7">
        <f>+B7*0.057/100</f>
        <v>0.22629000000000002</v>
      </c>
      <c r="E20" s="7">
        <f>+B8*0.02819/100</f>
        <v>0</v>
      </c>
      <c r="F20" s="60"/>
      <c r="G20" s="47" t="s">
        <v>26</v>
      </c>
      <c r="H20" s="26"/>
      <c r="I20" s="26"/>
      <c r="J20" s="26"/>
      <c r="K20" s="4">
        <f>+IF(H20=2,42,IF(H20=3,25,30))</f>
        <v>30</v>
      </c>
      <c r="L20" s="5">
        <f>IF(H20=1,1.97*0.9,1.97)</f>
        <v>1.97</v>
      </c>
      <c r="M20" s="5">
        <f t="shared" si="6"/>
        <v>31.97</v>
      </c>
      <c r="N20" s="40">
        <f>2565+(($B$9+$B$11)*$B$10*0.001525)*12.5</f>
        <v>10441.053125</v>
      </c>
      <c r="O20" s="14">
        <f t="shared" si="1"/>
        <v>326.58908742571163</v>
      </c>
      <c r="P20" s="34">
        <f>(N20*(1+$A$20)*(1+$D$20)*(((IF(H20=1,'트포별 계수'!D19,(IF(H20=2,'트포별 계수'!E19,(IF(H20=3,'트포별 계수'!F19,1))))))*(IF(I20=1,'트포별 계수'!G19,(IF(I20=2,'트포별 계수'!H19,(IF(I20=3,'트포별 계수'!I19,1))))))*(IF(J20=1,'트포별 계수'!J19,(IF(J20=2,'트포별 계수'!K19,1)))))))</f>
        <v>12803.759036656251</v>
      </c>
      <c r="Q20" s="22">
        <f t="shared" si="7"/>
        <v>5761.6915664953131</v>
      </c>
      <c r="R20" s="36">
        <f t="shared" si="8"/>
        <v>400.49293201927594</v>
      </c>
      <c r="S20" s="16">
        <f t="shared" si="9"/>
        <v>180.22181940867418</v>
      </c>
      <c r="T20" s="48">
        <f>+IF(AND(I20=2,J20=1),10.86%,IF(I20=2,8.51%,IF(J20=1,11.87%,10%)))*(1+$E$20)</f>
        <v>0.1</v>
      </c>
      <c r="U20" s="48">
        <f t="shared" si="10"/>
        <v>5.0761421319796961E-2</v>
      </c>
      <c r="X20" s="12"/>
    </row>
    <row r="21" spans="1:24" x14ac:dyDescent="0.3">
      <c r="P21" s="21"/>
      <c r="Q21" s="21"/>
    </row>
    <row r="23" spans="1:24" x14ac:dyDescent="0.3">
      <c r="O23"/>
      <c r="P23"/>
      <c r="Q23"/>
      <c r="R23"/>
      <c r="S23"/>
      <c r="T23"/>
    </row>
    <row r="24" spans="1:24" x14ac:dyDescent="0.3">
      <c r="A24" s="29"/>
      <c r="O24"/>
      <c r="P24"/>
      <c r="Q24"/>
      <c r="R24"/>
      <c r="S24"/>
      <c r="T24"/>
    </row>
    <row r="25" spans="1:24" x14ac:dyDescent="0.3">
      <c r="A25" s="29"/>
      <c r="O25"/>
      <c r="P25"/>
      <c r="Q25"/>
      <c r="R25"/>
      <c r="S25"/>
      <c r="T25"/>
    </row>
    <row r="26" spans="1:24" x14ac:dyDescent="0.3">
      <c r="A26" s="29"/>
      <c r="O26"/>
      <c r="P26"/>
      <c r="Q26"/>
      <c r="R26"/>
      <c r="S26"/>
      <c r="T26"/>
    </row>
    <row r="27" spans="1:24" x14ac:dyDescent="0.3">
      <c r="A27" s="31"/>
      <c r="O27"/>
      <c r="P27"/>
      <c r="Q27"/>
      <c r="R27"/>
      <c r="S27"/>
      <c r="T27"/>
    </row>
    <row r="28" spans="1:24" x14ac:dyDescent="0.3">
      <c r="A28" s="31"/>
      <c r="O28"/>
      <c r="P28"/>
      <c r="Q28"/>
      <c r="R28"/>
      <c r="S28"/>
      <c r="T28"/>
    </row>
    <row r="29" spans="1:24" x14ac:dyDescent="0.3">
      <c r="A29" s="31"/>
      <c r="O29"/>
      <c r="P29"/>
      <c r="Q29"/>
      <c r="R29"/>
      <c r="S29"/>
      <c r="T29"/>
    </row>
    <row r="30" spans="1:24" x14ac:dyDescent="0.25">
      <c r="A30" s="42"/>
      <c r="O30"/>
      <c r="P30"/>
      <c r="Q30"/>
      <c r="R30"/>
      <c r="S30"/>
      <c r="T30"/>
    </row>
    <row r="31" spans="1:24" x14ac:dyDescent="0.25">
      <c r="A31" s="42"/>
      <c r="O31"/>
      <c r="P31"/>
      <c r="Q31"/>
      <c r="R31"/>
      <c r="S31"/>
      <c r="T31"/>
    </row>
    <row r="32" spans="1:24" x14ac:dyDescent="0.25">
      <c r="A32" s="42"/>
    </row>
    <row r="33" spans="1:1" x14ac:dyDescent="0.25">
      <c r="A33" s="42"/>
    </row>
    <row r="34" spans="1:1" x14ac:dyDescent="0.25">
      <c r="A34" s="32"/>
    </row>
  </sheetData>
  <mergeCells count="14">
    <mergeCell ref="A4:B4"/>
    <mergeCell ref="F4:F11"/>
    <mergeCell ref="H2:H3"/>
    <mergeCell ref="I2:I3"/>
    <mergeCell ref="J2:J3"/>
    <mergeCell ref="R2:S2"/>
    <mergeCell ref="T2:U2"/>
    <mergeCell ref="F13:F20"/>
    <mergeCell ref="K2:K3"/>
    <mergeCell ref="L2:L3"/>
    <mergeCell ref="M2:M3"/>
    <mergeCell ref="N2:N3"/>
    <mergeCell ref="O2:O3"/>
    <mergeCell ref="P2:Q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4"/>
  <sheetViews>
    <sheetView workbookViewId="0">
      <selection activeCell="G7" sqref="G7"/>
    </sheetView>
  </sheetViews>
  <sheetFormatPr defaultRowHeight="16.5" x14ac:dyDescent="0.3"/>
  <cols>
    <col min="12" max="17" width="0" hidden="1" customWidth="1"/>
  </cols>
  <sheetData>
    <row r="1" spans="2:21" x14ac:dyDescent="0.3">
      <c r="B1" t="s">
        <v>34</v>
      </c>
    </row>
    <row r="2" spans="2:21" x14ac:dyDescent="0.3">
      <c r="D2" s="54" t="s">
        <v>31</v>
      </c>
      <c r="E2" s="54"/>
      <c r="F2" s="54"/>
      <c r="G2" s="54" t="s">
        <v>32</v>
      </c>
      <c r="H2" s="54"/>
      <c r="I2" s="54"/>
      <c r="J2" s="54" t="s">
        <v>33</v>
      </c>
      <c r="K2" s="54"/>
      <c r="L2" t="s">
        <v>39</v>
      </c>
      <c r="M2">
        <v>2</v>
      </c>
      <c r="O2" t="s">
        <v>38</v>
      </c>
    </row>
    <row r="3" spans="2:21" x14ac:dyDescent="0.3">
      <c r="B3" s="53" t="s">
        <v>3</v>
      </c>
      <c r="C3" s="3" t="s">
        <v>4</v>
      </c>
      <c r="D3" s="45">
        <v>1</v>
      </c>
      <c r="E3" s="45">
        <v>1</v>
      </c>
      <c r="F3" s="45">
        <v>1</v>
      </c>
      <c r="G3" s="45">
        <v>1.3</v>
      </c>
      <c r="H3" s="45">
        <v>1</v>
      </c>
      <c r="I3" s="45">
        <v>1.1499999999999999</v>
      </c>
      <c r="J3" s="45">
        <v>1.17</v>
      </c>
      <c r="K3" s="45">
        <v>1.4</v>
      </c>
      <c r="L3" s="24">
        <f>+J3+G3+E3</f>
        <v>3.4699999999999998</v>
      </c>
      <c r="M3" s="24">
        <f>+L3-$M$2</f>
        <v>1.4699999999999998</v>
      </c>
      <c r="O3">
        <v>1.4949999999999999</v>
      </c>
      <c r="P3">
        <v>1.4500000000000002</v>
      </c>
    </row>
    <row r="4" spans="2:21" x14ac:dyDescent="0.3">
      <c r="B4" s="53"/>
      <c r="C4" s="3" t="s">
        <v>6</v>
      </c>
      <c r="D4" s="45">
        <v>1</v>
      </c>
      <c r="E4" s="45">
        <v>1</v>
      </c>
      <c r="F4" s="45">
        <v>1</v>
      </c>
      <c r="G4" s="45">
        <v>1.1599999999999999</v>
      </c>
      <c r="H4" s="45">
        <v>1.5</v>
      </c>
      <c r="I4" s="45">
        <v>1</v>
      </c>
      <c r="J4" s="45">
        <v>1.5</v>
      </c>
      <c r="K4" s="45">
        <v>1.4</v>
      </c>
      <c r="L4" s="24">
        <f>+K4+H4+F4</f>
        <v>3.9</v>
      </c>
      <c r="M4" s="24">
        <f t="shared" ref="M4:M19" si="0">+L4-$M$2</f>
        <v>1.9</v>
      </c>
      <c r="N4" s="20"/>
      <c r="O4">
        <v>1.5750000000000002</v>
      </c>
      <c r="P4">
        <v>1.5499999999999998</v>
      </c>
    </row>
    <row r="5" spans="2:21" x14ac:dyDescent="0.3">
      <c r="B5" s="53"/>
      <c r="C5" s="3" t="s">
        <v>8</v>
      </c>
      <c r="D5" s="45">
        <v>1</v>
      </c>
      <c r="E5" s="45">
        <v>1.3</v>
      </c>
      <c r="F5" s="45">
        <v>1</v>
      </c>
      <c r="G5" s="45">
        <v>1</v>
      </c>
      <c r="H5" s="45">
        <v>1.5</v>
      </c>
      <c r="I5" s="45">
        <v>1</v>
      </c>
      <c r="J5" s="45">
        <v>1</v>
      </c>
      <c r="K5" s="45">
        <v>1.84</v>
      </c>
      <c r="L5" s="25">
        <f>+E5+H5+K5</f>
        <v>4.6399999999999997</v>
      </c>
      <c r="M5" s="24">
        <f t="shared" si="0"/>
        <v>2.6399999999999997</v>
      </c>
      <c r="O5">
        <v>2.73</v>
      </c>
      <c r="P5">
        <v>2.1999999999999993</v>
      </c>
    </row>
    <row r="6" spans="2:21" x14ac:dyDescent="0.3">
      <c r="B6" s="53"/>
      <c r="C6" s="3" t="s">
        <v>10</v>
      </c>
      <c r="D6" s="45">
        <v>1</v>
      </c>
      <c r="E6" s="45">
        <v>1</v>
      </c>
      <c r="F6" s="45">
        <v>1.3</v>
      </c>
      <c r="G6" s="45">
        <v>1</v>
      </c>
      <c r="H6" s="45">
        <v>1</v>
      </c>
      <c r="I6" s="45">
        <v>1</v>
      </c>
      <c r="J6" s="45">
        <v>1.6</v>
      </c>
      <c r="K6" s="45">
        <v>1.4</v>
      </c>
      <c r="L6" s="24">
        <f>++F6+H6+J6</f>
        <v>3.9</v>
      </c>
      <c r="M6" s="24">
        <f t="shared" si="0"/>
        <v>1.9</v>
      </c>
      <c r="O6">
        <v>2.8080000000000003</v>
      </c>
      <c r="P6">
        <v>2.25</v>
      </c>
    </row>
    <row r="7" spans="2:21" x14ac:dyDescent="0.3">
      <c r="B7" s="53"/>
      <c r="C7" s="3" t="s">
        <v>11</v>
      </c>
      <c r="D7" s="45">
        <v>1</v>
      </c>
      <c r="E7" s="45">
        <v>1</v>
      </c>
      <c r="F7" s="45">
        <v>1</v>
      </c>
      <c r="G7" s="45">
        <v>1</v>
      </c>
      <c r="H7" s="45">
        <v>1.5</v>
      </c>
      <c r="I7" s="45">
        <v>1.4</v>
      </c>
      <c r="J7" s="45">
        <v>1.6</v>
      </c>
      <c r="K7" s="45">
        <v>1</v>
      </c>
      <c r="L7" s="24">
        <f>+E7+H7+J7</f>
        <v>4.0999999999999996</v>
      </c>
      <c r="M7" s="24">
        <f t="shared" si="0"/>
        <v>2.0999999999999996</v>
      </c>
      <c r="O7">
        <v>3.2400000000000007</v>
      </c>
      <c r="P7">
        <v>2.4500000000000002</v>
      </c>
      <c r="S7">
        <v>100</v>
      </c>
      <c r="U7">
        <f>1.5*1.6</f>
        <v>2.4000000000000004</v>
      </c>
    </row>
    <row r="8" spans="2:21" x14ac:dyDescent="0.3">
      <c r="B8" s="53"/>
      <c r="C8" s="3" t="s">
        <v>16</v>
      </c>
      <c r="D8" s="45">
        <v>1.2</v>
      </c>
      <c r="E8" s="45">
        <v>1</v>
      </c>
      <c r="F8" s="45">
        <v>1</v>
      </c>
      <c r="G8" s="45">
        <v>1.1299999999999999</v>
      </c>
      <c r="H8" s="45">
        <v>1.5</v>
      </c>
      <c r="I8" s="45">
        <v>1.24</v>
      </c>
      <c r="J8" s="45">
        <v>1.5</v>
      </c>
      <c r="K8" s="45">
        <v>1.4</v>
      </c>
      <c r="L8" s="24">
        <f>+D8+H8+J8</f>
        <v>4.2</v>
      </c>
      <c r="M8" s="24">
        <f t="shared" si="0"/>
        <v>2.2000000000000002</v>
      </c>
      <c r="O8">
        <v>5.4</v>
      </c>
      <c r="P8">
        <v>3.3499999999999996</v>
      </c>
      <c r="S8">
        <f>+S7*1.5</f>
        <v>150</v>
      </c>
    </row>
    <row r="9" spans="2:21" x14ac:dyDescent="0.3">
      <c r="B9" s="53"/>
      <c r="C9" s="3" t="s">
        <v>17</v>
      </c>
      <c r="D9" s="45">
        <v>1</v>
      </c>
      <c r="E9" s="45">
        <v>1</v>
      </c>
      <c r="F9" s="45">
        <v>1</v>
      </c>
      <c r="G9" s="45">
        <v>1.25</v>
      </c>
      <c r="H9" s="45">
        <v>1.3</v>
      </c>
      <c r="I9" s="45">
        <v>1.24</v>
      </c>
      <c r="J9" s="45">
        <v>1.6</v>
      </c>
      <c r="K9" s="45">
        <v>1.8</v>
      </c>
      <c r="L9" s="24">
        <f>+D9+I9+J9</f>
        <v>3.8400000000000003</v>
      </c>
      <c r="M9" s="24">
        <f t="shared" si="0"/>
        <v>1.8400000000000003</v>
      </c>
      <c r="O9">
        <v>1.9963999999999997</v>
      </c>
      <c r="P9">
        <v>1.7899999999999996</v>
      </c>
      <c r="S9">
        <f>+S8*0.6</f>
        <v>90</v>
      </c>
      <c r="T9">
        <v>240</v>
      </c>
    </row>
    <row r="10" spans="2:21" x14ac:dyDescent="0.3">
      <c r="B10" s="53"/>
      <c r="C10" s="3" t="s">
        <v>18</v>
      </c>
      <c r="D10" s="45">
        <v>1</v>
      </c>
      <c r="E10" s="45">
        <v>1</v>
      </c>
      <c r="F10" s="45">
        <v>1.1299999999999999</v>
      </c>
      <c r="G10" s="45">
        <v>1</v>
      </c>
      <c r="H10" s="45">
        <v>1</v>
      </c>
      <c r="I10" s="45">
        <v>1</v>
      </c>
      <c r="J10" s="45">
        <v>1.85</v>
      </c>
      <c r="K10" s="45">
        <v>1.4</v>
      </c>
      <c r="L10" s="25">
        <f>+F10+I10+J10</f>
        <v>3.98</v>
      </c>
      <c r="M10" s="24">
        <f t="shared" si="0"/>
        <v>1.98</v>
      </c>
      <c r="O10">
        <v>3.952</v>
      </c>
      <c r="P10">
        <v>2.8000000000000007</v>
      </c>
    </row>
    <row r="11" spans="2:21" x14ac:dyDescent="0.3">
      <c r="B11" s="9"/>
      <c r="C11" s="9"/>
      <c r="D11" s="55" t="s">
        <v>31</v>
      </c>
      <c r="E11" s="55"/>
      <c r="F11" s="55"/>
      <c r="G11" s="55" t="s">
        <v>32</v>
      </c>
      <c r="H11" s="55"/>
      <c r="I11" s="55"/>
      <c r="J11" s="55" t="s">
        <v>33</v>
      </c>
      <c r="K11" s="55"/>
      <c r="M11" s="24"/>
    </row>
    <row r="12" spans="2:21" x14ac:dyDescent="0.3">
      <c r="B12" s="53" t="s">
        <v>19</v>
      </c>
      <c r="C12" s="3" t="s">
        <v>20</v>
      </c>
      <c r="D12" s="46">
        <v>1</v>
      </c>
      <c r="E12" s="46">
        <v>1</v>
      </c>
      <c r="F12" s="46">
        <v>1</v>
      </c>
      <c r="G12" s="46">
        <v>1</v>
      </c>
      <c r="H12" s="46">
        <v>2</v>
      </c>
      <c r="I12" s="46">
        <v>1.2</v>
      </c>
      <c r="J12" s="46">
        <v>1.8</v>
      </c>
      <c r="K12" s="46">
        <v>1.4</v>
      </c>
      <c r="L12" s="24">
        <f>+D12+H12+J12</f>
        <v>4.8</v>
      </c>
      <c r="M12" s="24">
        <f t="shared" si="0"/>
        <v>2.8</v>
      </c>
      <c r="O12">
        <v>4.1399999999999997</v>
      </c>
      <c r="P12">
        <v>2.95</v>
      </c>
      <c r="Q12" s="24"/>
    </row>
    <row r="13" spans="2:21" x14ac:dyDescent="0.3">
      <c r="B13" s="53"/>
      <c r="C13" s="3" t="s">
        <v>21</v>
      </c>
      <c r="D13" s="46">
        <v>1</v>
      </c>
      <c r="E13" s="46">
        <v>1.25</v>
      </c>
      <c r="F13" s="46">
        <v>1</v>
      </c>
      <c r="G13" s="46">
        <v>1.3</v>
      </c>
      <c r="H13" s="46">
        <v>1.1499999999999999</v>
      </c>
      <c r="I13" s="46">
        <v>1</v>
      </c>
      <c r="J13" s="46">
        <v>1.3</v>
      </c>
      <c r="K13" s="46">
        <v>1.6</v>
      </c>
      <c r="L13" s="25">
        <f>+E13+H13+J13</f>
        <v>3.7</v>
      </c>
      <c r="M13" s="24">
        <f t="shared" si="0"/>
        <v>1.7000000000000002</v>
      </c>
      <c r="O13">
        <v>1.8687500000000001</v>
      </c>
      <c r="P13">
        <v>1.7000000000000002</v>
      </c>
    </row>
    <row r="14" spans="2:21" x14ac:dyDescent="0.3">
      <c r="B14" s="53"/>
      <c r="C14" s="3" t="s">
        <v>22</v>
      </c>
      <c r="D14" s="46">
        <v>1</v>
      </c>
      <c r="E14" s="46">
        <v>1</v>
      </c>
      <c r="F14" s="46">
        <v>1</v>
      </c>
      <c r="G14" s="46">
        <v>1</v>
      </c>
      <c r="H14" s="46">
        <v>1.4</v>
      </c>
      <c r="I14" s="46">
        <v>1.25</v>
      </c>
      <c r="J14" s="46">
        <v>1</v>
      </c>
      <c r="K14" s="46">
        <v>1</v>
      </c>
      <c r="L14" s="25">
        <f>+D14+H14+K14</f>
        <v>3.4</v>
      </c>
      <c r="M14" s="24">
        <f t="shared" si="0"/>
        <v>1.4</v>
      </c>
      <c r="O14">
        <v>1.4</v>
      </c>
      <c r="P14">
        <v>1.4</v>
      </c>
      <c r="R14" s="25"/>
    </row>
    <row r="15" spans="2:21" x14ac:dyDescent="0.3">
      <c r="B15" s="53"/>
      <c r="C15" s="3" t="s">
        <v>23</v>
      </c>
      <c r="D15" s="46">
        <v>1</v>
      </c>
      <c r="E15" s="46">
        <v>1</v>
      </c>
      <c r="F15" s="46">
        <v>1</v>
      </c>
      <c r="G15" s="46">
        <v>1</v>
      </c>
      <c r="H15" s="46">
        <v>1.33</v>
      </c>
      <c r="I15" s="46">
        <v>1</v>
      </c>
      <c r="J15" s="46">
        <v>1</v>
      </c>
      <c r="K15" s="46">
        <v>1.32</v>
      </c>
      <c r="L15" s="25">
        <f>+D15+H15+J15</f>
        <v>3.33</v>
      </c>
      <c r="M15" s="24">
        <f t="shared" si="0"/>
        <v>1.33</v>
      </c>
      <c r="O15">
        <v>1.5</v>
      </c>
      <c r="P15">
        <v>1.5</v>
      </c>
    </row>
    <row r="16" spans="2:21" x14ac:dyDescent="0.3">
      <c r="B16" s="53"/>
      <c r="C16" s="3" t="s">
        <v>24</v>
      </c>
      <c r="D16" s="46">
        <v>1.25</v>
      </c>
      <c r="E16" s="46">
        <v>1</v>
      </c>
      <c r="F16" s="46">
        <v>1.2</v>
      </c>
      <c r="G16" s="46">
        <v>1</v>
      </c>
      <c r="H16" s="46">
        <v>1</v>
      </c>
      <c r="I16" s="46">
        <v>1</v>
      </c>
      <c r="J16" s="46">
        <v>1.6</v>
      </c>
      <c r="K16" s="46">
        <v>1.63</v>
      </c>
      <c r="L16" s="24">
        <f>+F16+I16+K16</f>
        <v>3.83</v>
      </c>
      <c r="M16" s="24">
        <f t="shared" si="0"/>
        <v>1.83</v>
      </c>
      <c r="O16">
        <v>1.9278</v>
      </c>
      <c r="P16">
        <v>1.7399999999999998</v>
      </c>
    </row>
    <row r="17" spans="2:18" x14ac:dyDescent="0.3">
      <c r="B17" s="53"/>
      <c r="C17" s="3" t="s">
        <v>25</v>
      </c>
      <c r="D17" s="46">
        <v>1.1000000000000001</v>
      </c>
      <c r="E17" s="46">
        <v>1</v>
      </c>
      <c r="F17" s="46">
        <v>1</v>
      </c>
      <c r="G17" s="46">
        <v>1.38</v>
      </c>
      <c r="H17" s="46">
        <v>1</v>
      </c>
      <c r="I17" s="46">
        <v>1</v>
      </c>
      <c r="J17" s="46">
        <v>1.42</v>
      </c>
      <c r="K17" s="46">
        <v>1.68</v>
      </c>
      <c r="L17" s="25">
        <f>+D17+G17+K17</f>
        <v>4.16</v>
      </c>
      <c r="M17" s="24">
        <f t="shared" si="0"/>
        <v>2.16</v>
      </c>
      <c r="O17">
        <v>2.5845600000000002</v>
      </c>
      <c r="P17">
        <v>2.2000000000000002</v>
      </c>
    </row>
    <row r="18" spans="2:18" x14ac:dyDescent="0.3">
      <c r="B18" s="53"/>
      <c r="C18" s="3" t="s">
        <v>6</v>
      </c>
      <c r="D18" s="46">
        <v>1</v>
      </c>
      <c r="E18" s="46">
        <v>1</v>
      </c>
      <c r="F18" s="46">
        <v>1</v>
      </c>
      <c r="G18" s="46">
        <v>1</v>
      </c>
      <c r="H18" s="46">
        <v>0.75</v>
      </c>
      <c r="I18" s="46">
        <v>1</v>
      </c>
      <c r="J18" s="46">
        <v>1</v>
      </c>
      <c r="K18" s="46">
        <v>1</v>
      </c>
      <c r="L18" s="24">
        <f>+D18+G18+J18</f>
        <v>3</v>
      </c>
      <c r="M18" s="24">
        <f t="shared" si="0"/>
        <v>1</v>
      </c>
      <c r="O18">
        <v>1.62</v>
      </c>
      <c r="P18">
        <v>1.5499999999999998</v>
      </c>
      <c r="R18" s="24"/>
    </row>
    <row r="19" spans="2:18" x14ac:dyDescent="0.3">
      <c r="B19" s="53"/>
      <c r="C19" s="3" t="s">
        <v>26</v>
      </c>
      <c r="D19" s="46">
        <v>1</v>
      </c>
      <c r="E19" s="46">
        <v>1</v>
      </c>
      <c r="F19" s="46">
        <v>1</v>
      </c>
      <c r="G19" s="46">
        <v>1.28</v>
      </c>
      <c r="H19" s="46">
        <v>0.85</v>
      </c>
      <c r="I19" s="46">
        <v>1</v>
      </c>
      <c r="J19" s="46">
        <v>1.2</v>
      </c>
      <c r="K19" s="46">
        <v>1.5</v>
      </c>
      <c r="L19" s="25">
        <f>+F19+H19+K19</f>
        <v>3.35</v>
      </c>
      <c r="M19" s="24">
        <f t="shared" si="0"/>
        <v>1.35</v>
      </c>
      <c r="O19">
        <v>1.5</v>
      </c>
      <c r="P19">
        <v>1.5</v>
      </c>
    </row>
    <row r="20" spans="2:18" x14ac:dyDescent="0.3">
      <c r="K20" s="24"/>
    </row>
    <row r="21" spans="2:18" x14ac:dyDescent="0.3">
      <c r="K21" s="24"/>
    </row>
    <row r="24" spans="2:18" x14ac:dyDescent="0.3">
      <c r="N24" s="20"/>
    </row>
  </sheetData>
  <mergeCells count="8">
    <mergeCell ref="B3:B10"/>
    <mergeCell ref="B12:B19"/>
    <mergeCell ref="D2:F2"/>
    <mergeCell ref="G2:I2"/>
    <mergeCell ref="J2:K2"/>
    <mergeCell ref="D11:F11"/>
    <mergeCell ref="G11:I11"/>
    <mergeCell ref="J11:K1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사용전 필독</vt:lpstr>
      <vt:lpstr>인파 시뮬</vt:lpstr>
      <vt:lpstr>트포별 계수</vt:lpstr>
      <vt:lpstr>Sheet1</vt:lpstr>
    </vt:vector>
  </TitlesOfParts>
  <Company>금호타이어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장효선</dc:creator>
  <cp:lastModifiedBy>장효선</cp:lastModifiedBy>
  <cp:lastPrinted>2018-12-13T00:38:57Z</cp:lastPrinted>
  <dcterms:created xsi:type="dcterms:W3CDTF">2018-12-07T04:04:43Z</dcterms:created>
  <dcterms:modified xsi:type="dcterms:W3CDTF">2018-12-20T08:19:00Z</dcterms:modified>
</cp:coreProperties>
</file>