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8520"/>
  </bookViews>
  <sheets>
    <sheet name="Sheet1" sheetId="1" r:id="rId1"/>
  </sheets>
  <externalReferences>
    <externalReference r:id="rId2"/>
  </externalReferences>
  <definedNames>
    <definedName name="YesNo">[1]일반!$B$36:$B$37</definedName>
  </definedNames>
  <calcPr calcId="145621"/>
</workbook>
</file>

<file path=xl/calcChain.xml><?xml version="1.0" encoding="utf-8"?>
<calcChain xmlns="http://schemas.openxmlformats.org/spreadsheetml/2006/main">
  <c r="I79" i="1" l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7" i="1"/>
  <c r="E57" i="1" s="1"/>
  <c r="D56" i="1"/>
  <c r="E56" i="1" s="1"/>
  <c r="B54" i="1"/>
  <c r="E62" i="1" s="1"/>
  <c r="D52" i="1"/>
  <c r="E52" i="1" s="1"/>
  <c r="B52" i="1"/>
  <c r="D58" i="1" s="1"/>
  <c r="E58" i="1" s="1"/>
  <c r="D51" i="1"/>
  <c r="E51" i="1" s="1"/>
  <c r="B51" i="1"/>
  <c r="E50" i="1"/>
  <c r="D50" i="1"/>
  <c r="D49" i="1"/>
  <c r="E49" i="1" s="1"/>
  <c r="B49" i="1"/>
  <c r="D48" i="1"/>
  <c r="E48" i="1" s="1"/>
  <c r="B48" i="1"/>
  <c r="B47" i="1"/>
  <c r="G72" i="1" s="1"/>
  <c r="W19" i="1"/>
  <c r="AD7" i="1"/>
  <c r="AC7" i="1"/>
  <c r="AB7" i="1"/>
  <c r="AA7" i="1"/>
  <c r="G60" i="1" l="1"/>
  <c r="G64" i="1"/>
  <c r="G68" i="1"/>
  <c r="G54" i="1"/>
  <c r="G55" i="1"/>
  <c r="G59" i="1"/>
  <c r="G61" i="1"/>
  <c r="G63" i="1"/>
  <c r="G65" i="1"/>
  <c r="G67" i="1"/>
  <c r="G69" i="1"/>
  <c r="G62" i="1"/>
  <c r="G66" i="1"/>
  <c r="G70" i="1"/>
  <c r="G58" i="1"/>
  <c r="G53" i="1"/>
  <c r="E71" i="1"/>
  <c r="F71" i="1" s="1"/>
  <c r="H78" i="1"/>
  <c r="H80" i="1" s="1"/>
  <c r="K78" i="1"/>
  <c r="J78" i="1"/>
  <c r="F62" i="1"/>
  <c r="E63" i="1"/>
  <c r="F63" i="1" s="1"/>
  <c r="E64" i="1"/>
  <c r="F64" i="1" s="1"/>
  <c r="E65" i="1"/>
  <c r="F65" i="1" s="1"/>
  <c r="E66" i="1"/>
  <c r="E67" i="1"/>
  <c r="F67" i="1" s="1"/>
  <c r="E68" i="1"/>
  <c r="F68" i="1" s="1"/>
  <c r="E69" i="1"/>
  <c r="E70" i="1"/>
  <c r="I78" i="1"/>
  <c r="I80" i="1" s="1"/>
  <c r="E72" i="1"/>
  <c r="G50" i="1"/>
  <c r="G51" i="1"/>
  <c r="G52" i="1"/>
  <c r="D55" i="1"/>
  <c r="E55" i="1" s="1"/>
  <c r="G57" i="1"/>
  <c r="D59" i="1"/>
  <c r="E59" i="1" s="1"/>
  <c r="E60" i="1"/>
  <c r="E61" i="1"/>
  <c r="G48" i="1"/>
  <c r="G49" i="1"/>
  <c r="D53" i="1"/>
  <c r="E53" i="1" s="1"/>
  <c r="D54" i="1"/>
  <c r="E54" i="1" s="1"/>
  <c r="G56" i="1"/>
  <c r="G71" i="1"/>
  <c r="F70" i="1" l="1"/>
  <c r="F66" i="1"/>
  <c r="F61" i="1"/>
  <c r="K49" i="1"/>
  <c r="K48" i="1"/>
  <c r="K50" i="1" s="1"/>
  <c r="K52" i="1" s="1"/>
  <c r="K54" i="1" s="1"/>
  <c r="K56" i="1" s="1"/>
  <c r="K58" i="1" s="1"/>
  <c r="J48" i="1"/>
  <c r="J49" i="1" s="1"/>
  <c r="J50" i="1" s="1"/>
  <c r="J51" i="1" s="1"/>
  <c r="J52" i="1" s="1"/>
  <c r="J53" i="1" s="1"/>
  <c r="J54" i="1" s="1"/>
  <c r="J55" i="1" s="1"/>
  <c r="J56" i="1" s="1"/>
  <c r="J57" i="1" s="1"/>
  <c r="H48" i="1"/>
  <c r="H49" i="1" s="1"/>
  <c r="H50" i="1" s="1"/>
  <c r="H51" i="1" s="1"/>
  <c r="H52" i="1" s="1"/>
  <c r="H53" i="1" s="1"/>
  <c r="H54" i="1" s="1"/>
  <c r="H55" i="1" s="1"/>
  <c r="H56" i="1" s="1"/>
  <c r="H57" i="1" s="1"/>
  <c r="I48" i="1"/>
  <c r="I49" i="1" s="1"/>
  <c r="I50" i="1" s="1"/>
  <c r="I51" i="1" s="1"/>
  <c r="I52" i="1" s="1"/>
  <c r="I53" i="1" s="1"/>
  <c r="I54" i="1" s="1"/>
  <c r="I55" i="1" s="1"/>
  <c r="I56" i="1" s="1"/>
  <c r="I57" i="1" s="1"/>
  <c r="F72" i="1"/>
  <c r="F60" i="1"/>
  <c r="J80" i="1"/>
  <c r="K51" i="1"/>
  <c r="K53" i="1" s="1"/>
  <c r="K55" i="1" s="1"/>
  <c r="K57" i="1" s="1"/>
  <c r="F69" i="1"/>
  <c r="K80" i="1"/>
  <c r="P4" i="1" l="1"/>
  <c r="I58" i="1"/>
  <c r="O4" i="1"/>
  <c r="H58" i="1"/>
  <c r="Q4" i="1"/>
  <c r="J58" i="1"/>
  <c r="R4" i="1"/>
  <c r="K59" i="1"/>
  <c r="R5" i="1"/>
  <c r="X5" i="1" s="1"/>
  <c r="R6" i="1" l="1"/>
  <c r="K60" i="1"/>
  <c r="K73" i="1" s="1"/>
  <c r="X16" i="1" s="1"/>
  <c r="O5" i="1"/>
  <c r="H59" i="1"/>
  <c r="X4" i="1"/>
  <c r="AD4" i="1"/>
  <c r="AA4" i="1"/>
  <c r="U4" i="1"/>
  <c r="Q5" i="1"/>
  <c r="J59" i="1"/>
  <c r="P5" i="1"/>
  <c r="I59" i="1"/>
  <c r="AC4" i="1"/>
  <c r="W4" i="1"/>
  <c r="V4" i="1"/>
  <c r="AB4" i="1"/>
  <c r="P6" i="1" l="1"/>
  <c r="I60" i="1"/>
  <c r="I73" i="1" s="1"/>
  <c r="V16" i="1" s="1"/>
  <c r="O6" i="1"/>
  <c r="H60" i="1"/>
  <c r="V5" i="1"/>
  <c r="AB5" i="1"/>
  <c r="U5" i="1"/>
  <c r="AA5" i="1"/>
  <c r="Q6" i="1"/>
  <c r="J60" i="1"/>
  <c r="K61" i="1"/>
  <c r="K74" i="1" s="1"/>
  <c r="X17" i="1" s="1"/>
  <c r="AC5" i="1"/>
  <c r="W5" i="1"/>
  <c r="AD6" i="1"/>
  <c r="X6" i="1"/>
  <c r="AC6" i="1" l="1"/>
  <c r="W6" i="1"/>
  <c r="I61" i="1"/>
  <c r="J61" i="1"/>
  <c r="J74" i="1" s="1"/>
  <c r="W17" i="1" s="1"/>
  <c r="U6" i="1"/>
  <c r="AA6" i="1"/>
  <c r="J73" i="1"/>
  <c r="W16" i="1" s="1"/>
  <c r="K62" i="1"/>
  <c r="K75" i="1" s="1"/>
  <c r="X18" i="1" s="1"/>
  <c r="H73" i="1"/>
  <c r="U16" i="1" s="1"/>
  <c r="H61" i="1"/>
  <c r="V6" i="1"/>
  <c r="AB6" i="1"/>
  <c r="I62" i="1" l="1"/>
  <c r="I75" i="1" s="1"/>
  <c r="V18" i="1" s="1"/>
  <c r="R7" i="1"/>
  <c r="X7" i="1" s="1"/>
  <c r="K63" i="1"/>
  <c r="I74" i="1"/>
  <c r="V17" i="1" s="1"/>
  <c r="H62" i="1"/>
  <c r="H74" i="1"/>
  <c r="U17" i="1" s="1"/>
  <c r="J62" i="1"/>
  <c r="J75" i="1" s="1"/>
  <c r="W18" i="1" s="1"/>
  <c r="O7" i="1" l="1"/>
  <c r="U7" i="1" s="1"/>
  <c r="H63" i="1"/>
  <c r="H76" i="1" s="1"/>
  <c r="U19" i="1" s="1"/>
  <c r="K64" i="1"/>
  <c r="K77" i="1" s="1"/>
  <c r="X20" i="1" s="1"/>
  <c r="H75" i="1"/>
  <c r="U18" i="1" s="1"/>
  <c r="J63" i="1"/>
  <c r="Q7" i="1"/>
  <c r="W7" i="1" s="1"/>
  <c r="K76" i="1"/>
  <c r="X19" i="1" s="1"/>
  <c r="P7" i="1"/>
  <c r="V7" i="1" s="1"/>
  <c r="I63" i="1"/>
  <c r="I76" i="1" s="1"/>
  <c r="V19" i="1" s="1"/>
  <c r="I64" i="1" l="1"/>
  <c r="I77" i="1" s="1"/>
  <c r="V20" i="1" s="1"/>
  <c r="J64" i="1"/>
  <c r="H64" i="1"/>
  <c r="H77" i="1" s="1"/>
  <c r="U20" i="1" s="1"/>
  <c r="R8" i="1"/>
  <c r="X8" i="1" s="1"/>
  <c r="K65" i="1"/>
  <c r="R9" i="1" l="1"/>
  <c r="X9" i="1" s="1"/>
  <c r="K66" i="1"/>
  <c r="Q8" i="1"/>
  <c r="W8" i="1" s="1"/>
  <c r="J65" i="1"/>
  <c r="J77" i="1"/>
  <c r="W20" i="1" s="1"/>
  <c r="O8" i="1"/>
  <c r="U8" i="1" s="1"/>
  <c r="H65" i="1"/>
  <c r="P8" i="1"/>
  <c r="V8" i="1" s="1"/>
  <c r="I65" i="1"/>
  <c r="Q9" i="1" l="1"/>
  <c r="W9" i="1" s="1"/>
  <c r="J66" i="1"/>
  <c r="O9" i="1"/>
  <c r="U9" i="1" s="1"/>
  <c r="H66" i="1"/>
  <c r="R10" i="1"/>
  <c r="X10" i="1" s="1"/>
  <c r="K67" i="1"/>
  <c r="K68" i="1" s="1"/>
  <c r="P9" i="1"/>
  <c r="V9" i="1" s="1"/>
  <c r="I66" i="1"/>
  <c r="P10" i="1" l="1"/>
  <c r="V10" i="1" s="1"/>
  <c r="I67" i="1"/>
  <c r="I68" i="1" s="1"/>
  <c r="O10" i="1"/>
  <c r="U10" i="1" s="1"/>
  <c r="H67" i="1"/>
  <c r="H68" i="1" s="1"/>
  <c r="R11" i="1"/>
  <c r="X11" i="1" s="1"/>
  <c r="K69" i="1"/>
  <c r="Q10" i="1"/>
  <c r="W10" i="1" s="1"/>
  <c r="J67" i="1"/>
  <c r="J68" i="1" s="1"/>
  <c r="Q11" i="1" l="1"/>
  <c r="W11" i="1" s="1"/>
  <c r="J69" i="1"/>
  <c r="O11" i="1"/>
  <c r="U11" i="1" s="1"/>
  <c r="H69" i="1"/>
  <c r="R12" i="1"/>
  <c r="X12" i="1" s="1"/>
  <c r="K70" i="1"/>
  <c r="K71" i="1" s="1"/>
  <c r="K72" i="1" s="1"/>
  <c r="P11" i="1"/>
  <c r="V11" i="1" s="1"/>
  <c r="I69" i="1"/>
  <c r="P12" i="1" l="1"/>
  <c r="V12" i="1" s="1"/>
  <c r="I70" i="1"/>
  <c r="I71" i="1" s="1"/>
  <c r="I72" i="1" s="1"/>
  <c r="O12" i="1"/>
  <c r="U12" i="1" s="1"/>
  <c r="H70" i="1"/>
  <c r="H71" i="1" s="1"/>
  <c r="H72" i="1" s="1"/>
  <c r="Q12" i="1"/>
  <c r="W12" i="1" s="1"/>
  <c r="J70" i="1"/>
  <c r="J71" i="1" s="1"/>
  <c r="J72" i="1" s="1"/>
  <c r="C14" i="1" l="1"/>
  <c r="AC12" i="1"/>
  <c r="AB12" i="1"/>
  <c r="AB11" i="1"/>
  <c r="AB10" i="1"/>
  <c r="AB9" i="1"/>
  <c r="AC8" i="1"/>
  <c r="AA12" i="1"/>
  <c r="AA10" i="1"/>
  <c r="AC9" i="1"/>
  <c r="AD8" i="1"/>
  <c r="AD11" i="1"/>
  <c r="AA9" i="1"/>
  <c r="AC11" i="1"/>
  <c r="AD10" i="1"/>
  <c r="AB8" i="1"/>
  <c r="AD12" i="1"/>
  <c r="AA11" i="1"/>
  <c r="AC10" i="1"/>
  <c r="AD9" i="1"/>
  <c r="AA8" i="1"/>
  <c r="C15" i="1" l="1"/>
</calcChain>
</file>

<file path=xl/sharedStrings.xml><?xml version="1.0" encoding="utf-8"?>
<sst xmlns="http://schemas.openxmlformats.org/spreadsheetml/2006/main" count="79" uniqueCount="67">
  <si>
    <t>레벨제한</t>
    <phoneticPr fontId="3" type="noConversion"/>
  </si>
  <si>
    <t>기대비용</t>
    <phoneticPr fontId="3" type="noConversion"/>
  </si>
  <si>
    <t>MVP 할인</t>
    <phoneticPr fontId="3" type="noConversion"/>
  </si>
  <si>
    <t>할인x</t>
    <phoneticPr fontId="3" type="noConversion"/>
  </si>
  <si>
    <t>30% 할인</t>
    <phoneticPr fontId="3" type="noConversion"/>
  </si>
  <si>
    <t>5.,10,15 100%</t>
    <phoneticPr fontId="3" type="noConversion"/>
  </si>
  <si>
    <t>1+1</t>
    <phoneticPr fontId="3" type="noConversion"/>
  </si>
  <si>
    <t>30%할인</t>
    <phoneticPr fontId="3" type="noConversion"/>
  </si>
  <si>
    <t>5,10,15</t>
    <phoneticPr fontId="3" type="noConversion"/>
  </si>
  <si>
    <t>PC방 할인</t>
    <phoneticPr fontId="3" type="noConversion"/>
  </si>
  <si>
    <t>0→10</t>
    <phoneticPr fontId="3" type="noConversion"/>
  </si>
  <si>
    <t>0→10</t>
    <phoneticPr fontId="3" type="noConversion"/>
  </si>
  <si>
    <t>노작값(억)</t>
    <phoneticPr fontId="3" type="noConversion"/>
  </si>
  <si>
    <t>10→11</t>
    <phoneticPr fontId="3" type="noConversion"/>
  </si>
  <si>
    <t>-</t>
    <phoneticPr fontId="3" type="noConversion"/>
  </si>
  <si>
    <t>스타캐치</t>
    <phoneticPr fontId="3" type="noConversion"/>
  </si>
  <si>
    <t>11→12</t>
    <phoneticPr fontId="3" type="noConversion"/>
  </si>
  <si>
    <t>11→12</t>
    <phoneticPr fontId="3" type="noConversion"/>
  </si>
  <si>
    <t>15무료파방</t>
    <phoneticPr fontId="3" type="noConversion"/>
  </si>
  <si>
    <t>N</t>
  </si>
  <si>
    <t>12→15</t>
    <phoneticPr fontId="3" type="noConversion"/>
  </si>
  <si>
    <t>12→15</t>
    <phoneticPr fontId="3" type="noConversion"/>
  </si>
  <si>
    <t>공효율</t>
    <phoneticPr fontId="3" type="noConversion"/>
  </si>
  <si>
    <t>12→17</t>
    <phoneticPr fontId="3" type="noConversion"/>
  </si>
  <si>
    <t>스탯%효율</t>
    <phoneticPr fontId="3" type="noConversion"/>
  </si>
  <si>
    <t>17→18</t>
    <phoneticPr fontId="3" type="noConversion"/>
  </si>
  <si>
    <t>17→18</t>
    <phoneticPr fontId="3" type="noConversion"/>
  </si>
  <si>
    <t>메소마켓 시세</t>
    <phoneticPr fontId="3" type="noConversion"/>
  </si>
  <si>
    <t>18→19</t>
    <phoneticPr fontId="3" type="noConversion"/>
  </si>
  <si>
    <t>18→19</t>
    <phoneticPr fontId="3" type="noConversion"/>
  </si>
  <si>
    <t>유효2줄 확률</t>
    <phoneticPr fontId="3" type="noConversion"/>
  </si>
  <si>
    <t>19→21</t>
    <phoneticPr fontId="3" type="noConversion"/>
  </si>
  <si>
    <t>21→22</t>
    <phoneticPr fontId="3" type="noConversion"/>
  </si>
  <si>
    <t>레전등업 확률</t>
    <phoneticPr fontId="3" type="noConversion"/>
  </si>
  <si>
    <t>파방여부</t>
    <phoneticPr fontId="3" type="noConversion"/>
  </si>
  <si>
    <t>할인x</t>
    <phoneticPr fontId="3" type="noConversion"/>
  </si>
  <si>
    <t>30%할인</t>
    <phoneticPr fontId="3" type="noConversion"/>
  </si>
  <si>
    <t>5,10,15</t>
    <phoneticPr fontId="3" type="noConversion"/>
  </si>
  <si>
    <t>1+1</t>
    <phoneticPr fontId="3" type="noConversion"/>
  </si>
  <si>
    <t>12→13</t>
    <phoneticPr fontId="3" type="noConversion"/>
  </si>
  <si>
    <t>13→14</t>
    <phoneticPr fontId="3" type="noConversion"/>
  </si>
  <si>
    <t>14→15</t>
    <phoneticPr fontId="3" type="noConversion"/>
  </si>
  <si>
    <t>15→16</t>
    <phoneticPr fontId="3" type="noConversion"/>
  </si>
  <si>
    <t>16→17</t>
    <phoneticPr fontId="3" type="noConversion"/>
  </si>
  <si>
    <t>레벨제한</t>
    <phoneticPr fontId="3" type="noConversion"/>
  </si>
  <si>
    <t>강화차수</t>
    <phoneticPr fontId="3" type="noConversion"/>
  </si>
  <si>
    <t>성공확률</t>
    <phoneticPr fontId="3" type="noConversion"/>
  </si>
  <si>
    <t>실패확률</t>
    <phoneticPr fontId="3" type="noConversion"/>
  </si>
  <si>
    <t>파괴확률</t>
    <phoneticPr fontId="3" type="noConversion"/>
  </si>
  <si>
    <t>강화비용</t>
    <phoneticPr fontId="3" type="noConversion"/>
  </si>
  <si>
    <t>할인 없음</t>
    <phoneticPr fontId="3" type="noConversion"/>
  </si>
  <si>
    <t>5, 10, 15성 100%</t>
    <phoneticPr fontId="3" type="noConversion"/>
  </si>
  <si>
    <t>10성 이하 1+1</t>
    <phoneticPr fontId="3" type="noConversion"/>
  </si>
  <si>
    <t>PC방 할인</t>
    <phoneticPr fontId="3" type="noConversion"/>
  </si>
  <si>
    <t>노작 아이템 가격</t>
    <phoneticPr fontId="3" type="noConversion"/>
  </si>
  <si>
    <t>스타캐치 보너스확률</t>
    <phoneticPr fontId="3" type="noConversion"/>
  </si>
  <si>
    <t>15성까지 무료파방(Y/N)</t>
    <phoneticPr fontId="3" type="noConversion"/>
  </si>
  <si>
    <t>파괴방지X</t>
    <phoneticPr fontId="3" type="noConversion"/>
  </si>
  <si>
    <t>배율17값과 배율22값은 수정금지</t>
    <phoneticPr fontId="3" type="noConversion"/>
  </si>
  <si>
    <t>z</t>
    <phoneticPr fontId="3" type="noConversion"/>
  </si>
  <si>
    <t>배율17</t>
    <phoneticPr fontId="3" type="noConversion"/>
  </si>
  <si>
    <t>배율22</t>
    <phoneticPr fontId="3" type="noConversion"/>
  </si>
  <si>
    <t>배율17파</t>
    <phoneticPr fontId="3" type="noConversion"/>
  </si>
  <si>
    <t>Y</t>
    <phoneticPr fontId="3" type="noConversion"/>
  </si>
  <si>
    <t>N</t>
    <phoneticPr fontId="3" type="noConversion"/>
  </si>
  <si>
    <t>효율(방어구 기준)</t>
    <phoneticPr fontId="3" type="noConversion"/>
  </si>
  <si>
    <t>유잠 시세(억)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</si>
</sst>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_ "/>
    <numFmt numFmtId="178" formatCode="0.0_ "/>
    <numFmt numFmtId="179" formatCode="#,##0.00_ "/>
    <numFmt numFmtId="180" formatCode="#,##0.0_ "/>
  </numFmts>
  <fonts count="13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F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2" tint="-0.24994659260841701"/>
      </left>
      <right style="dotted">
        <color theme="2" tint="-0.24994659260841701"/>
      </right>
      <top style="medium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medium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/>
      <top style="medium">
        <color theme="2" tint="-0.24994659260841701"/>
      </top>
      <bottom style="dotted">
        <color theme="2" tint="-0.24994659260841701"/>
      </bottom>
      <diagonal/>
    </border>
    <border>
      <left style="medium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medium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/>
      <top style="dotted">
        <color theme="2" tint="-0.24994659260841701"/>
      </top>
      <bottom style="dotted">
        <color theme="2" tint="-0.24994659260841701"/>
      </bottom>
      <diagonal/>
    </border>
    <border>
      <left style="medium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medium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medium">
        <color theme="2" tint="-0.24994659260841701"/>
      </bottom>
      <diagonal/>
    </border>
    <border>
      <left style="dotted">
        <color theme="2" tint="-0.24994659260841701"/>
      </left>
      <right style="medium">
        <color theme="2" tint="-0.24994659260841701"/>
      </right>
      <top style="dotted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>
      <alignment vertical="center"/>
    </xf>
    <xf numFmtId="176" fontId="7" fillId="3" borderId="1" xfId="0" applyNumberFormat="1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5" xfId="0" applyFont="1" applyFill="1" applyBorder="1" applyAlignment="1">
      <alignment horizontal="center" vertical="center"/>
    </xf>
    <xf numFmtId="176" fontId="7" fillId="3" borderId="5" xfId="0" applyNumberFormat="1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7" fontId="9" fillId="3" borderId="7" xfId="0" applyNumberFormat="1" applyFont="1" applyFill="1" applyBorder="1">
      <alignment vertical="center"/>
    </xf>
    <xf numFmtId="176" fontId="7" fillId="3" borderId="0" xfId="0" applyNumberFormat="1" applyFont="1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178" fontId="11" fillId="3" borderId="7" xfId="0" applyNumberFormat="1" applyFont="1" applyFill="1" applyBorder="1" applyAlignment="1">
      <alignment horizontal="right" vertical="center"/>
    </xf>
    <xf numFmtId="178" fontId="11" fillId="3" borderId="6" xfId="0" applyNumberFormat="1" applyFont="1" applyFill="1" applyBorder="1" applyAlignment="1">
      <alignment horizontal="right" vertical="center"/>
    </xf>
    <xf numFmtId="178" fontId="5" fillId="3" borderId="0" xfId="0" applyNumberFormat="1" applyFont="1" applyFill="1" applyAlignment="1">
      <alignment horizontal="right" vertical="center"/>
    </xf>
    <xf numFmtId="177" fontId="7" fillId="3" borderId="0" xfId="0" applyNumberFormat="1" applyFont="1" applyFill="1" applyBorder="1">
      <alignment vertical="center"/>
    </xf>
    <xf numFmtId="176" fontId="7" fillId="3" borderId="9" xfId="0" applyNumberFormat="1" applyFont="1" applyFill="1" applyBorder="1">
      <alignment vertical="center"/>
    </xf>
    <xf numFmtId="0" fontId="7" fillId="3" borderId="10" xfId="0" applyFont="1" applyFill="1" applyBorder="1">
      <alignment vertical="center"/>
    </xf>
    <xf numFmtId="177" fontId="9" fillId="3" borderId="10" xfId="0" applyNumberFormat="1" applyFont="1" applyFill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/>
    </xf>
    <xf numFmtId="178" fontId="11" fillId="3" borderId="10" xfId="0" applyNumberFormat="1" applyFont="1" applyFill="1" applyBorder="1" applyAlignment="1">
      <alignment horizontal="right" vertical="center"/>
    </xf>
    <xf numFmtId="178" fontId="11" fillId="3" borderId="11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178" fontId="0" fillId="3" borderId="0" xfId="0" applyNumberFormat="1" applyFill="1">
      <alignment vertical="center"/>
    </xf>
    <xf numFmtId="0" fontId="7" fillId="3" borderId="0" xfId="0" applyNumberFormat="1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9" fontId="12" fillId="3" borderId="0" xfId="0" applyNumberFormat="1" applyFont="1" applyFill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>
      <alignment vertical="center"/>
    </xf>
    <xf numFmtId="177" fontId="12" fillId="3" borderId="0" xfId="0" applyNumberFormat="1" applyFont="1" applyFill="1" applyAlignment="1">
      <alignment vertical="center"/>
    </xf>
    <xf numFmtId="177" fontId="12" fillId="3" borderId="0" xfId="0" applyNumberFormat="1" applyFont="1" applyFill="1">
      <alignment vertical="center"/>
    </xf>
    <xf numFmtId="176" fontId="12" fillId="3" borderId="0" xfId="0" applyNumberFormat="1" applyFont="1" applyFill="1">
      <alignment vertical="center"/>
    </xf>
    <xf numFmtId="177" fontId="12" fillId="3" borderId="0" xfId="0" applyNumberFormat="1" applyFont="1" applyFill="1" applyBorder="1" applyAlignment="1" applyProtection="1">
      <alignment vertical="center"/>
    </xf>
    <xf numFmtId="0" fontId="12" fillId="3" borderId="0" xfId="1" applyFont="1" applyFill="1" applyAlignment="1">
      <alignment vertical="center"/>
    </xf>
    <xf numFmtId="10" fontId="12" fillId="3" borderId="0" xfId="1" applyNumberFormat="1" applyFont="1" applyFill="1">
      <alignment vertical="center"/>
    </xf>
    <xf numFmtId="177" fontId="12" fillId="3" borderId="0" xfId="1" applyNumberFormat="1" applyFont="1" applyFill="1" applyAlignment="1">
      <alignment vertical="center"/>
    </xf>
    <xf numFmtId="177" fontId="12" fillId="3" borderId="0" xfId="1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left" vertical="top"/>
    </xf>
    <xf numFmtId="0" fontId="6" fillId="3" borderId="2" xfId="0" applyFont="1" applyFill="1" applyBorder="1" applyAlignment="1" applyProtection="1">
      <alignment horizontal="right" vertical="center"/>
      <protection locked="0"/>
    </xf>
    <xf numFmtId="9" fontId="6" fillId="3" borderId="6" xfId="0" applyNumberFormat="1" applyFont="1" applyFill="1" applyBorder="1" applyAlignment="1" applyProtection="1">
      <alignment horizontal="right" vertical="center"/>
      <protection locked="0"/>
    </xf>
    <xf numFmtId="10" fontId="6" fillId="3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179" fontId="6" fillId="3" borderId="6" xfId="0" applyNumberFormat="1" applyFont="1" applyFill="1" applyBorder="1" applyAlignment="1" applyProtection="1">
      <alignment horizontal="right" vertical="center"/>
      <protection locked="0"/>
    </xf>
    <xf numFmtId="10" fontId="6" fillId="3" borderId="1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80" fontId="6" fillId="3" borderId="6" xfId="0" applyNumberFormat="1" applyFont="1" applyFill="1" applyBorder="1" applyAlignment="1" applyProtection="1">
      <alignment horizontal="right" vertical="center"/>
      <protection locked="0"/>
    </xf>
  </cellXfs>
  <cellStyles count="2">
    <cellStyle name="좋음" xfId="1" builtinId="26"/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219075</xdr:colOff>
      <xdr:row>6</xdr:row>
      <xdr:rowOff>180975</xdr:rowOff>
    </xdr:from>
    <xdr:ext cx="184731" cy="264560"/>
    <xdr:sp macro="" textlink="">
      <xdr:nvSpPr>
        <xdr:cNvPr id="2" name="TextBox 1"/>
        <xdr:cNvSpPr txBox="1"/>
      </xdr:nvSpPr>
      <xdr:spPr>
        <a:xfrm>
          <a:off x="1068705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twoCellAnchor>
    <xdr:from>
      <xdr:col>30</xdr:col>
      <xdr:colOff>152400</xdr:colOff>
      <xdr:row>1</xdr:row>
      <xdr:rowOff>9524</xdr:rowOff>
    </xdr:from>
    <xdr:to>
      <xdr:col>33</xdr:col>
      <xdr:colOff>190500</xdr:colOff>
      <xdr:row>24</xdr:row>
      <xdr:rowOff>152401</xdr:rowOff>
    </xdr:to>
    <xdr:sp macro="" textlink="">
      <xdr:nvSpPr>
        <xdr:cNvPr id="3" name="TextBox 2"/>
        <xdr:cNvSpPr txBox="1"/>
      </xdr:nvSpPr>
      <xdr:spPr>
        <a:xfrm>
          <a:off x="9248775" y="228599"/>
          <a:ext cx="2095500" cy="4991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50" b="1" i="0">
              <a:solidFill>
                <a:srgbClr val="FF0000"/>
              </a:solidFill>
            </a:rPr>
            <a:t>빨강</a:t>
          </a:r>
          <a:r>
            <a:rPr lang="en-US" altLang="ko-KR" sz="1050" b="1" i="0">
              <a:solidFill>
                <a:srgbClr val="FF0000"/>
              </a:solidFill>
            </a:rPr>
            <a:t>: </a:t>
          </a:r>
          <a:r>
            <a:rPr lang="ko-KR" altLang="en-US" sz="1050" b="1" i="0">
              <a:solidFill>
                <a:srgbClr val="FF0000"/>
              </a:solidFill>
            </a:rPr>
            <a:t>유니크보다 효율이 좋음</a:t>
          </a:r>
          <a:endParaRPr lang="en-US" altLang="ko-KR" sz="1050" b="1" i="0">
            <a:solidFill>
              <a:srgbClr val="FF0000"/>
            </a:solidFill>
          </a:endParaRPr>
        </a:p>
        <a:p>
          <a:r>
            <a:rPr lang="ko-KR" altLang="en-US" sz="1050" b="1" i="0">
              <a:solidFill>
                <a:srgbClr val="FF0000"/>
              </a:solidFill>
            </a:rPr>
            <a:t>노랑</a:t>
          </a:r>
          <a:r>
            <a:rPr lang="en-US" altLang="ko-KR" sz="1050" b="1" i="0">
              <a:solidFill>
                <a:srgbClr val="FF0000"/>
              </a:solidFill>
            </a:rPr>
            <a:t>: </a:t>
          </a:r>
          <a:r>
            <a:rPr lang="ko-KR" altLang="en-US" sz="1050" b="1" i="0">
              <a:solidFill>
                <a:srgbClr val="FF0000"/>
              </a:solidFill>
            </a:rPr>
            <a:t>유니크 이상</a:t>
          </a:r>
          <a:r>
            <a:rPr lang="en-US" altLang="ko-KR" sz="1050" b="1" i="0">
              <a:solidFill>
                <a:srgbClr val="FF0000"/>
              </a:solidFill>
            </a:rPr>
            <a:t>, </a:t>
          </a:r>
          <a:r>
            <a:rPr lang="ko-KR" altLang="en-US" sz="1050" b="1" i="0">
              <a:solidFill>
                <a:srgbClr val="FF0000"/>
              </a:solidFill>
            </a:rPr>
            <a:t>레전 이하</a:t>
          </a:r>
          <a:endParaRPr lang="en-US" altLang="ko-KR" sz="1050" b="1" i="0">
            <a:solidFill>
              <a:srgbClr val="FF0000"/>
            </a:solidFill>
          </a:endParaRPr>
        </a:p>
        <a:p>
          <a:r>
            <a:rPr lang="ko-KR" altLang="en-US" sz="1050" b="1" i="0">
              <a:solidFill>
                <a:srgbClr val="FF0000"/>
              </a:solidFill>
            </a:rPr>
            <a:t>초록</a:t>
          </a:r>
          <a:r>
            <a:rPr lang="en-US" altLang="ko-KR" sz="1050" b="1" i="0">
              <a:solidFill>
                <a:srgbClr val="FF0000"/>
              </a:solidFill>
            </a:rPr>
            <a:t>: </a:t>
          </a:r>
          <a:r>
            <a:rPr lang="ko-KR" altLang="en-US" sz="1050" b="1" i="0">
              <a:solidFill>
                <a:srgbClr val="FF0000"/>
              </a:solidFill>
            </a:rPr>
            <a:t>레전보다 효율이 나쁨</a:t>
          </a:r>
          <a:endParaRPr lang="en-US" altLang="ko-KR" sz="1050" b="1" i="0">
            <a:solidFill>
              <a:srgbClr val="FF0000"/>
            </a:solidFill>
          </a:endParaRPr>
        </a:p>
        <a:p>
          <a:endParaRPr lang="en-US" altLang="ko-KR" sz="1050" b="1" i="0"/>
        </a:p>
        <a:p>
          <a:r>
            <a:rPr lang="en-US" altLang="ko-KR" sz="1050" b="1" i="0"/>
            <a:t>15</a:t>
          </a:r>
          <a:r>
            <a:rPr lang="ko-KR" altLang="en-US" sz="1050" b="1" i="0"/>
            <a:t>무료파방</a:t>
          </a:r>
          <a:r>
            <a:rPr lang="en-US" altLang="ko-KR" sz="1050" b="1" i="0"/>
            <a:t>: 15</a:t>
          </a:r>
          <a:r>
            <a:rPr lang="ko-KR" altLang="en-US" sz="1050" b="1" i="0"/>
            <a:t>성까지 파괴방지 체크 없이 파괴방지가 되는 이벤트 유무</a:t>
          </a:r>
          <a:endParaRPr lang="en-US" altLang="ko-KR" sz="1050" b="1" i="0"/>
        </a:p>
        <a:p>
          <a:endParaRPr lang="en-US" altLang="ko-KR" sz="1050" b="1" i="0"/>
        </a:p>
        <a:p>
          <a:r>
            <a:rPr lang="ko-KR" altLang="en-US" sz="1050" b="1" i="0"/>
            <a:t>공효율</a:t>
          </a:r>
          <a:r>
            <a:rPr lang="en-US" altLang="ko-KR" sz="1050" b="1" i="0"/>
            <a:t>: </a:t>
          </a:r>
          <a:r>
            <a:rPr lang="ko-KR" altLang="en-US" sz="1050" b="1" i="0"/>
            <a:t>공격력 </a:t>
          </a:r>
          <a:r>
            <a:rPr lang="en-US" altLang="ko-KR" sz="1050" b="1" i="0"/>
            <a:t>1</a:t>
          </a:r>
          <a:r>
            <a:rPr lang="ko-KR" altLang="en-US" sz="1050" b="1" i="0"/>
            <a:t>을 주스탯으로 환산한 가치</a:t>
          </a:r>
          <a:r>
            <a:rPr lang="en-US" altLang="ko-KR" sz="1050" b="1" i="0" baseline="0"/>
            <a:t> (</a:t>
          </a:r>
          <a:r>
            <a:rPr lang="ko-KR" altLang="en-US" sz="1050" b="1" i="0" baseline="0"/>
            <a:t>귀찮으면 </a:t>
          </a:r>
          <a:r>
            <a:rPr lang="en-US" altLang="ko-KR" sz="1050" b="1" i="0" baseline="0"/>
            <a:t>4)</a:t>
          </a:r>
        </a:p>
        <a:p>
          <a:endParaRPr lang="en-US" altLang="ko-KR" sz="1050" b="1" i="0" baseline="0"/>
        </a:p>
        <a:p>
          <a:r>
            <a:rPr lang="ko-KR" altLang="en-US" sz="1050" b="1" i="0" baseline="0"/>
            <a:t>스탯</a:t>
          </a:r>
          <a:r>
            <a:rPr lang="en-US" altLang="ko-KR" sz="1050" b="1" i="0" baseline="0"/>
            <a:t>%</a:t>
          </a:r>
          <a:r>
            <a:rPr lang="ko-KR" altLang="en-US" sz="1050" b="1" i="0" baseline="0"/>
            <a:t>효율</a:t>
          </a:r>
          <a:r>
            <a:rPr lang="en-US" altLang="ko-KR" sz="1050" b="1" i="0" baseline="0"/>
            <a:t>: </a:t>
          </a:r>
          <a:r>
            <a:rPr lang="ko-KR" altLang="en-US" sz="1050" b="1" i="0" baseline="0"/>
            <a:t>주스탯 </a:t>
          </a:r>
          <a:r>
            <a:rPr lang="en-US" altLang="ko-KR" sz="1050" b="1" i="0" baseline="0"/>
            <a:t>1%</a:t>
          </a:r>
          <a:r>
            <a:rPr lang="ko-KR" altLang="en-US" sz="1050" b="1" i="0" baseline="0"/>
            <a:t>를 주스탯으로 환산한 가치 </a:t>
          </a:r>
          <a:r>
            <a:rPr lang="en-US" altLang="ko-KR" sz="1050" b="1" i="0" baseline="0"/>
            <a:t>(</a:t>
          </a:r>
          <a:r>
            <a:rPr lang="ko-KR" altLang="en-US" sz="1050" b="1" i="0" baseline="0"/>
            <a:t>귀찮으면 </a:t>
          </a:r>
          <a:r>
            <a:rPr lang="en-US" altLang="ko-KR" sz="1050" b="1" i="0" baseline="0"/>
            <a:t>10)</a:t>
          </a:r>
        </a:p>
        <a:p>
          <a:endParaRPr lang="en-US" altLang="ko-KR" sz="1050" b="1" i="0" baseline="0"/>
        </a:p>
        <a:p>
          <a:r>
            <a:rPr lang="ko-KR" altLang="en-US" sz="1050" b="1" i="0" baseline="0"/>
            <a:t>유효</a:t>
          </a:r>
          <a:r>
            <a:rPr lang="en-US" altLang="ko-KR" sz="1050" b="1" i="0" baseline="0"/>
            <a:t>2</a:t>
          </a:r>
          <a:r>
            <a:rPr lang="ko-KR" altLang="en-US" sz="1050" b="1" i="0" baseline="0"/>
            <a:t>줄 확률</a:t>
          </a:r>
          <a:r>
            <a:rPr lang="en-US" altLang="ko-KR" sz="1050" b="1" i="0" baseline="0"/>
            <a:t>: </a:t>
          </a:r>
          <a:r>
            <a:rPr lang="ko-KR" altLang="en-US" sz="1050" b="1" i="0" baseline="0"/>
            <a:t>레드큐브로 유니크에서 </a:t>
          </a:r>
          <a:r>
            <a:rPr lang="en-US" altLang="ko-KR" sz="1050" b="1" i="0" baseline="0"/>
            <a:t>15%, </a:t>
          </a:r>
          <a:r>
            <a:rPr lang="ko-KR" altLang="en-US" sz="1050" b="1" i="0" baseline="0"/>
            <a:t>레전에서 </a:t>
          </a:r>
          <a:r>
            <a:rPr lang="en-US" altLang="ko-KR" sz="1050" b="1" i="0" baseline="0"/>
            <a:t>21% </a:t>
          </a:r>
          <a:r>
            <a:rPr lang="ko-KR" altLang="en-US" sz="1050" b="1" i="0" baseline="0"/>
            <a:t>이상이 등장할 확률</a:t>
          </a:r>
          <a:r>
            <a:rPr lang="en-US" altLang="ko-KR" sz="1050" b="1" i="0" baseline="0"/>
            <a:t> (</a:t>
          </a:r>
          <a:r>
            <a:rPr lang="ko-KR" altLang="en-US" sz="1050" b="1" i="0" baseline="0"/>
            <a:t>대략 </a:t>
          </a:r>
          <a:r>
            <a:rPr lang="en-US" altLang="ko-KR" sz="1050" b="1" i="0" baseline="0"/>
            <a:t>3%)</a:t>
          </a:r>
        </a:p>
        <a:p>
          <a:endParaRPr lang="en-US" altLang="ko-KR" sz="1050" b="1" i="0" baseline="0"/>
        </a:p>
        <a:p>
          <a:r>
            <a:rPr lang="ko-KR" altLang="en-US" sz="1050" b="1" i="0" baseline="0"/>
            <a:t>레전등업 확률</a:t>
          </a:r>
          <a:r>
            <a:rPr lang="en-US" altLang="ko-KR" sz="1050" b="1" i="0" baseline="0"/>
            <a:t>: </a:t>
          </a:r>
          <a:r>
            <a:rPr lang="ko-KR" altLang="en-US" sz="1050" b="1" i="0" baseline="0"/>
            <a:t>블랙큐브로 유니크에서 레전으로 등업할 확률 </a:t>
          </a:r>
          <a:r>
            <a:rPr lang="en-US" altLang="ko-KR" sz="1050" b="1" i="0" baseline="0"/>
            <a:t>(</a:t>
          </a:r>
          <a:r>
            <a:rPr lang="ko-KR" altLang="en-US" sz="1050" b="1" i="0" baseline="0"/>
            <a:t>대략 </a:t>
          </a:r>
          <a:r>
            <a:rPr lang="en-US" altLang="ko-KR" sz="1050" b="1" i="0" baseline="0"/>
            <a:t>1.2%)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rno/Desktop/&#47700;&#51060;&#54540;/starf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반"/>
      <sheetName val="슈페리얼"/>
    </sheetNames>
    <sheetDataSet>
      <sheetData sheetId="0">
        <row r="36">
          <cell r="B36" t="str">
            <v>Y</v>
          </cell>
        </row>
        <row r="37">
          <cell r="B37" t="str">
            <v>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tabSelected="1" workbookViewId="0">
      <selection activeCell="C5" sqref="C5"/>
    </sheetView>
  </sheetViews>
  <sheetFormatPr defaultRowHeight="16.5"/>
  <cols>
    <col min="1" max="1" width="2.625" style="1" customWidth="1"/>
    <col min="2" max="2" width="11.625" style="1" customWidth="1"/>
    <col min="3" max="3" width="14.625" style="1" customWidth="1"/>
    <col min="4" max="18" width="0" style="1" hidden="1" customWidth="1"/>
    <col min="19" max="19" width="2.625" style="1" customWidth="1"/>
    <col min="20" max="20" width="6.625" style="1" customWidth="1"/>
    <col min="21" max="24" width="9" style="1"/>
    <col min="25" max="25" width="2.625" style="1" customWidth="1"/>
    <col min="26" max="26" width="6.625" style="1" customWidth="1"/>
    <col min="27" max="16384" width="9" style="1"/>
  </cols>
  <sheetData>
    <row r="1" spans="1:36" ht="17.25" thickBot="1">
      <c r="O1" s="2"/>
      <c r="P1" s="2"/>
      <c r="Q1" s="2"/>
      <c r="R1" s="2"/>
      <c r="S1" s="3"/>
      <c r="Y1" s="51"/>
      <c r="AE1" s="51"/>
    </row>
    <row r="2" spans="1:36">
      <c r="A2" s="4"/>
      <c r="B2" s="10" t="s">
        <v>0</v>
      </c>
      <c r="C2" s="66">
        <v>150</v>
      </c>
      <c r="L2" s="5"/>
      <c r="M2" s="6"/>
      <c r="N2" s="6"/>
      <c r="O2" s="7"/>
      <c r="P2" s="7"/>
      <c r="Q2" s="7"/>
      <c r="R2" s="8"/>
      <c r="S2" s="9"/>
      <c r="T2" s="73" t="s">
        <v>1</v>
      </c>
      <c r="U2" s="74"/>
      <c r="V2" s="74"/>
      <c r="W2" s="74"/>
      <c r="X2" s="75"/>
      <c r="Y2" s="11"/>
      <c r="Z2" s="73" t="s">
        <v>65</v>
      </c>
      <c r="AA2" s="74"/>
      <c r="AB2" s="74"/>
      <c r="AC2" s="74"/>
      <c r="AD2" s="75"/>
      <c r="AE2" s="11"/>
      <c r="AF2" s="76"/>
      <c r="AG2" s="76"/>
    </row>
    <row r="3" spans="1:36">
      <c r="A3" s="4"/>
      <c r="B3" s="12" t="s">
        <v>2</v>
      </c>
      <c r="C3" s="67">
        <v>0.03</v>
      </c>
      <c r="L3" s="13"/>
      <c r="M3" s="14"/>
      <c r="N3" s="14"/>
      <c r="O3" s="15" t="s">
        <v>3</v>
      </c>
      <c r="P3" s="15" t="s">
        <v>4</v>
      </c>
      <c r="Q3" s="15" t="s">
        <v>5</v>
      </c>
      <c r="R3" s="16" t="s">
        <v>6</v>
      </c>
      <c r="S3" s="17"/>
      <c r="T3" s="12"/>
      <c r="U3" s="18" t="s">
        <v>3</v>
      </c>
      <c r="V3" s="18" t="s">
        <v>7</v>
      </c>
      <c r="W3" s="18" t="s">
        <v>8</v>
      </c>
      <c r="X3" s="19" t="s">
        <v>6</v>
      </c>
      <c r="Y3" s="11"/>
      <c r="Z3" s="12"/>
      <c r="AA3" s="18" t="s">
        <v>3</v>
      </c>
      <c r="AB3" s="18" t="s">
        <v>7</v>
      </c>
      <c r="AC3" s="18" t="s">
        <v>8</v>
      </c>
      <c r="AD3" s="19" t="s">
        <v>6</v>
      </c>
      <c r="AE3" s="20"/>
      <c r="AF3" s="76"/>
      <c r="AG3" s="76"/>
    </row>
    <row r="4" spans="1:36">
      <c r="A4" s="4"/>
      <c r="B4" s="12" t="s">
        <v>9</v>
      </c>
      <c r="C4" s="67">
        <v>0</v>
      </c>
      <c r="L4" s="13"/>
      <c r="M4" s="14"/>
      <c r="N4" s="14">
        <v>10</v>
      </c>
      <c r="O4" s="21">
        <f>H57</f>
        <v>10339910.584127238</v>
      </c>
      <c r="P4" s="21">
        <f t="shared" ref="P4:R4" si="0">I57</f>
        <v>7237937.4088890664</v>
      </c>
      <c r="Q4" s="21">
        <f t="shared" si="0"/>
        <v>10104931.233477889</v>
      </c>
      <c r="R4" s="21">
        <f t="shared" si="0"/>
        <v>4565249.0383774806</v>
      </c>
      <c r="S4" s="22"/>
      <c r="T4" s="23" t="s">
        <v>10</v>
      </c>
      <c r="U4" s="24" t="str">
        <f t="shared" ref="U4:X6" si="1">ROUND(O4/10^8,2)&amp;"억"</f>
        <v>0.1억</v>
      </c>
      <c r="V4" s="24" t="str">
        <f t="shared" si="1"/>
        <v>0.07억</v>
      </c>
      <c r="W4" s="24" t="str">
        <f t="shared" si="1"/>
        <v>0.1억</v>
      </c>
      <c r="X4" s="25" t="str">
        <f t="shared" si="1"/>
        <v>0.05억</v>
      </c>
      <c r="Y4" s="26"/>
      <c r="Z4" s="23" t="s">
        <v>11</v>
      </c>
      <c r="AA4" s="27">
        <f>25/O4*10^8</f>
        <v>241.78158792182805</v>
      </c>
      <c r="AB4" s="27">
        <f>25/P4*10^8</f>
        <v>345.40226845975434</v>
      </c>
      <c r="AC4" s="27">
        <f>25/Q4*10^8</f>
        <v>247.40395973378205</v>
      </c>
      <c r="AD4" s="28">
        <f>25/R4*10^8</f>
        <v>547.61525143182905</v>
      </c>
      <c r="AE4" s="29"/>
      <c r="AF4" s="76"/>
      <c r="AG4" s="76"/>
    </row>
    <row r="5" spans="1:36">
      <c r="A5" s="4"/>
      <c r="B5" s="12" t="s">
        <v>12</v>
      </c>
      <c r="C5" s="77">
        <v>0</v>
      </c>
      <c r="L5" s="13"/>
      <c r="M5" s="14"/>
      <c r="N5" s="14">
        <v>11</v>
      </c>
      <c r="O5" s="21">
        <f>H58-H57</f>
        <v>10205146.153846154</v>
      </c>
      <c r="P5" s="21">
        <f t="shared" ref="P5:R6" si="2">I58-I57</f>
        <v>7143602.307692308</v>
      </c>
      <c r="Q5" s="21">
        <f t="shared" si="2"/>
        <v>5306676</v>
      </c>
      <c r="R5" s="21">
        <f t="shared" si="2"/>
        <v>1345412.5073722769</v>
      </c>
      <c r="S5" s="22"/>
      <c r="T5" s="23" t="s">
        <v>13</v>
      </c>
      <c r="U5" s="24" t="str">
        <f t="shared" si="1"/>
        <v>0.1억</v>
      </c>
      <c r="V5" s="24" t="str">
        <f t="shared" si="1"/>
        <v>0.07억</v>
      </c>
      <c r="W5" s="24" t="str">
        <f t="shared" si="1"/>
        <v>0.05억</v>
      </c>
      <c r="X5" s="25" t="str">
        <f t="shared" si="1"/>
        <v>0.01억</v>
      </c>
      <c r="Y5" s="26"/>
      <c r="Z5" s="23" t="s">
        <v>13</v>
      </c>
      <c r="AA5" s="27">
        <f t="shared" ref="AA5:AC6" si="3">3/O5*10^8</f>
        <v>29.396933221474232</v>
      </c>
      <c r="AB5" s="27">
        <f t="shared" si="3"/>
        <v>41.995618887820335</v>
      </c>
      <c r="AC5" s="27">
        <f t="shared" si="3"/>
        <v>56.532563887450451</v>
      </c>
      <c r="AD5" s="28" t="s">
        <v>14</v>
      </c>
      <c r="AE5" s="29"/>
      <c r="AF5" s="76"/>
      <c r="AG5" s="76"/>
    </row>
    <row r="6" spans="1:36">
      <c r="A6" s="4"/>
      <c r="B6" s="12" t="s">
        <v>15</v>
      </c>
      <c r="C6" s="68">
        <v>0.02</v>
      </c>
      <c r="L6" s="13"/>
      <c r="M6" s="14"/>
      <c r="N6" s="14">
        <v>12</v>
      </c>
      <c r="O6" s="21">
        <f>H59-H58</f>
        <v>25788394.599018008</v>
      </c>
      <c r="P6" s="21">
        <f t="shared" si="2"/>
        <v>18051876.219312601</v>
      </c>
      <c r="Q6" s="21">
        <f t="shared" si="2"/>
        <v>20264587.829787232</v>
      </c>
      <c r="R6" s="21">
        <f>K59-K58</f>
        <v>8859733.6464738771</v>
      </c>
      <c r="S6" s="22"/>
      <c r="T6" s="23" t="s">
        <v>16</v>
      </c>
      <c r="U6" s="24" t="str">
        <f t="shared" si="1"/>
        <v>0.26억</v>
      </c>
      <c r="V6" s="24" t="str">
        <f t="shared" si="1"/>
        <v>0.18억</v>
      </c>
      <c r="W6" s="24" t="str">
        <f t="shared" si="1"/>
        <v>0.2억</v>
      </c>
      <c r="X6" s="25" t="str">
        <f t="shared" si="1"/>
        <v>0.09억</v>
      </c>
      <c r="Y6" s="26"/>
      <c r="Z6" s="23" t="s">
        <v>17</v>
      </c>
      <c r="AA6" s="27">
        <f t="shared" si="3"/>
        <v>11.633139815978451</v>
      </c>
      <c r="AB6" s="27">
        <f t="shared" si="3"/>
        <v>16.618771165683505</v>
      </c>
      <c r="AC6" s="27">
        <f t="shared" si="3"/>
        <v>14.804150102625099</v>
      </c>
      <c r="AD6" s="28">
        <f>3/R6*10^8</f>
        <v>33.861063094080514</v>
      </c>
      <c r="AE6" s="29"/>
      <c r="AF6" s="76"/>
      <c r="AG6" s="76"/>
    </row>
    <row r="7" spans="1:36">
      <c r="A7" s="4"/>
      <c r="B7" s="12" t="s">
        <v>18</v>
      </c>
      <c r="C7" s="69" t="s">
        <v>19</v>
      </c>
      <c r="L7" s="13"/>
      <c r="M7" s="14"/>
      <c r="N7" s="14">
        <v>15</v>
      </c>
      <c r="O7" s="21">
        <f>H62-H59</f>
        <v>359504462.10176921</v>
      </c>
      <c r="P7" s="21">
        <f t="shared" ref="P7:R7" si="4">I62-I59</f>
        <v>251653123.4712384</v>
      </c>
      <c r="Q7" s="21">
        <f t="shared" si="4"/>
        <v>345785518.81646377</v>
      </c>
      <c r="R7" s="21">
        <f t="shared" si="4"/>
        <v>295456326.87486053</v>
      </c>
      <c r="S7" s="30"/>
      <c r="T7" s="23" t="s">
        <v>20</v>
      </c>
      <c r="U7" s="24" t="str">
        <f t="shared" ref="U7:X12" si="5">ROUND(O7/10^8,1)&amp;"억"</f>
        <v>3.6억</v>
      </c>
      <c r="V7" s="24" t="str">
        <f t="shared" si="5"/>
        <v>2.5억</v>
      </c>
      <c r="W7" s="24" t="str">
        <f t="shared" si="5"/>
        <v>3.5억</v>
      </c>
      <c r="X7" s="25" t="str">
        <f t="shared" si="5"/>
        <v>3억</v>
      </c>
      <c r="Y7" s="26"/>
      <c r="Z7" s="23" t="s">
        <v>21</v>
      </c>
      <c r="AA7" s="27" t="str">
        <f>IF($C$2&lt;128,9/O7*10^8,"-")</f>
        <v>-</v>
      </c>
      <c r="AB7" s="27" t="str">
        <f>IF($C$2&lt;128,9/P7*10^8,"-")</f>
        <v>-</v>
      </c>
      <c r="AC7" s="27" t="str">
        <f>IF($C$2&lt;128,9/Q7*10^8,"-")</f>
        <v>-</v>
      </c>
      <c r="AD7" s="28" t="str">
        <f>IF($C$2&lt;128,9/R7*10^8,"-")</f>
        <v>-</v>
      </c>
      <c r="AE7" s="29"/>
      <c r="AF7" s="76"/>
      <c r="AG7" s="76"/>
    </row>
    <row r="8" spans="1:36">
      <c r="A8" s="4"/>
      <c r="B8" s="12" t="s">
        <v>22</v>
      </c>
      <c r="C8" s="69">
        <v>4</v>
      </c>
      <c r="L8" s="13"/>
      <c r="M8" s="14"/>
      <c r="N8" s="14">
        <v>17</v>
      </c>
      <c r="O8" s="21">
        <f>H64-H59</f>
        <v>846469738.6200937</v>
      </c>
      <c r="P8" s="21">
        <f t="shared" ref="P8:R8" si="6">I64-I59</f>
        <v>592528817.03406537</v>
      </c>
      <c r="Q8" s="21">
        <f t="shared" si="6"/>
        <v>566452305.01601338</v>
      </c>
      <c r="R8" s="21">
        <f t="shared" si="6"/>
        <v>765578945.33273375</v>
      </c>
      <c r="S8" s="30"/>
      <c r="T8" s="23" t="s">
        <v>23</v>
      </c>
      <c r="U8" s="24" t="str">
        <f t="shared" si="5"/>
        <v>8.5억</v>
      </c>
      <c r="V8" s="24" t="str">
        <f t="shared" si="5"/>
        <v>5.9억</v>
      </c>
      <c r="W8" s="24" t="str">
        <f t="shared" si="5"/>
        <v>5.7억</v>
      </c>
      <c r="X8" s="25" t="str">
        <f t="shared" si="5"/>
        <v>7.7억</v>
      </c>
      <c r="Y8" s="26"/>
      <c r="Z8" s="23" t="s">
        <v>23</v>
      </c>
      <c r="AA8" s="27">
        <f>((IF($C$2&lt;=167,FLOOR(($C$2-8)/10,1)-5,FLOOR(($C$2-18)/20+3,1))*C8+IF($C$2&lt;=197,FLOOR(($C$2-8)/10-9,1)*2+1,15))+((IF($C$2&lt;=167,FLOOR(($C$2-8)/10,1)-5,FLOOR(($C$2-18)/20+3,1))+1)*C8+IF($C$2&lt;=197,FLOOR(($C$2-8)/10-9,1)*2+1,15))+9)/(O8)*10^8</f>
        <v>12.640735411809322</v>
      </c>
      <c r="AB8" s="27">
        <f>((IF($C$2&lt;=167,FLOOR(($C$2-8)/10,1)-5,FLOOR(($C$2-18)/20+3,1))*C8+IF($C$2&lt;=197,FLOOR(($C$2-8)/10-9,1)*2+1,15))+((IF($C$2&lt;=167,FLOOR(($C$2-8)/10,1)-5,FLOOR(($C$2-18)/20+3,1))+1)*C8+IF($C$2&lt;=197,FLOOR(($C$2-8)/10-9,1)*2+1,15))+9)/(P8)*10^8</f>
        <v>18.058193445441894</v>
      </c>
      <c r="AC8" s="27">
        <f>((IF($C$2&lt;=167,FLOOR(($C$2-8)/10,1)-5,FLOOR(($C$2-18)/20+3,1))*C8+IF($C$2&lt;=197,FLOOR(($C$2-8)/10-9,1)*2+1,15))+((IF($C$2&lt;=167,FLOOR(($C$2-8)/10,1)-5,FLOOR(($C$2-18)/20+3,1))+1)*C8+IF($C$2&lt;=197,FLOOR(($C$2-8)/10-9,1)*2+1,15))+9)/(Q8)*10^8</f>
        <v>18.88949856016124</v>
      </c>
      <c r="AD8" s="28">
        <f>((IF($C$2&lt;=167,FLOOR(($C$2-8)/10,1)-5,FLOOR(($C$2-18)/20+3,1))*C8+IF($C$2&lt;=197,FLOOR(($C$2-8)/10-9,1)*2+1,15))+((IF($C$2&lt;=167,FLOOR(($C$2-8)/10,1)-5,FLOOR(($C$2-18)/20+3,1))+1)*C8+IF($C$2&lt;=197,FLOOR(($C$2-8)/10-9,1)*2+1,15))+9)/(R8)*10^8</f>
        <v>13.976350924005096</v>
      </c>
      <c r="AE8" s="29"/>
      <c r="AF8" s="76"/>
      <c r="AG8" s="76"/>
    </row>
    <row r="9" spans="1:36">
      <c r="A9" s="4"/>
      <c r="B9" s="12" t="s">
        <v>24</v>
      </c>
      <c r="C9" s="70">
        <v>10</v>
      </c>
      <c r="L9" s="13"/>
      <c r="M9" s="14"/>
      <c r="N9" s="14">
        <v>18</v>
      </c>
      <c r="O9" s="21">
        <f>H65-H64</f>
        <v>836233860.94997358</v>
      </c>
      <c r="P9" s="21">
        <f t="shared" ref="P9:R10" si="7">I65-I64</f>
        <v>585363702.66498125</v>
      </c>
      <c r="Q9" s="21">
        <f t="shared" si="7"/>
        <v>560027148.72859216</v>
      </c>
      <c r="R9" s="21">
        <f t="shared" si="7"/>
        <v>810327711.28350806</v>
      </c>
      <c r="S9" s="30"/>
      <c r="T9" s="23" t="s">
        <v>25</v>
      </c>
      <c r="U9" s="24" t="str">
        <f t="shared" si="5"/>
        <v>8.4억</v>
      </c>
      <c r="V9" s="24" t="str">
        <f t="shared" si="5"/>
        <v>5.9억</v>
      </c>
      <c r="W9" s="24" t="str">
        <f t="shared" si="5"/>
        <v>5.6억</v>
      </c>
      <c r="X9" s="25" t="str">
        <f t="shared" si="5"/>
        <v>8.1억</v>
      </c>
      <c r="Y9" s="26"/>
      <c r="Z9" s="23" t="s">
        <v>26</v>
      </c>
      <c r="AA9" s="27">
        <f>((IF($C$2&lt;=167,FLOOR(($C$2-8)/10,1)-5,FLOOR(($C$2-18)/20+3,1))+2)*C8+IF($C$2&lt;=197,FLOOR(($C$2-8)/10-9,1)*2+1,15))/O9*10^8</f>
        <v>6.5771075016645728</v>
      </c>
      <c r="AB9" s="27">
        <f>((IF($C$2&lt;=167,FLOOR(($C$2-8)/10,1)-5,FLOOR(($C$2-18)/20+3,1))+2)*C8+IF($C$2&lt;=197,FLOOR(($C$2-8)/10-9,1)*2+1,15))/P9*10^8</f>
        <v>9.3958678595208216</v>
      </c>
      <c r="AC9" s="27">
        <f>((IF($C$2&lt;=167,FLOOR(($C$2-8)/10,1)-5,FLOOR(($C$2-18)/20+3,1))+2)*C8+IF($C$2&lt;=197,FLOOR(($C$2-8)/10-9,1)*2+1,15))/Q9*10^8</f>
        <v>9.8209524529059635</v>
      </c>
      <c r="AD9" s="28">
        <f>((IF($C$2&lt;=167,FLOOR(($C$2-8)/10,1)-5,FLOOR(($C$2-18)/20+3,1))+2)*C8+IF($C$2&lt;=197,FLOOR(($C$2-8)/10-9,1)*2+1,15))/R9*10^8</f>
        <v>6.7873774072076918</v>
      </c>
      <c r="AE9" s="29"/>
      <c r="AF9" s="76"/>
      <c r="AG9" s="76"/>
      <c r="AH9" s="26"/>
      <c r="AI9" s="26"/>
      <c r="AJ9" s="26"/>
    </row>
    <row r="10" spans="1:36">
      <c r="A10" s="4"/>
      <c r="B10" s="12" t="s">
        <v>27</v>
      </c>
      <c r="C10" s="69">
        <v>4500</v>
      </c>
      <c r="L10" s="13"/>
      <c r="M10" s="14"/>
      <c r="N10" s="14">
        <v>19</v>
      </c>
      <c r="O10" s="21">
        <f>H66-H65</f>
        <v>1618424214.6122646</v>
      </c>
      <c r="P10" s="21">
        <f t="shared" si="7"/>
        <v>1132896950.2285848</v>
      </c>
      <c r="Q10" s="21">
        <f t="shared" si="7"/>
        <v>1176338005.5067332</v>
      </c>
      <c r="R10" s="21">
        <f t="shared" si="7"/>
        <v>1570043112.3904219</v>
      </c>
      <c r="S10" s="30"/>
      <c r="T10" s="23" t="s">
        <v>28</v>
      </c>
      <c r="U10" s="24" t="str">
        <f t="shared" si="5"/>
        <v>16.2억</v>
      </c>
      <c r="V10" s="24" t="str">
        <f t="shared" si="5"/>
        <v>11.3억</v>
      </c>
      <c r="W10" s="24" t="str">
        <f t="shared" si="5"/>
        <v>11.8억</v>
      </c>
      <c r="X10" s="25" t="str">
        <f t="shared" si="5"/>
        <v>15.7억</v>
      </c>
      <c r="Y10" s="26"/>
      <c r="Z10" s="23" t="s">
        <v>29</v>
      </c>
      <c r="AA10" s="27">
        <f>((IF($C$2&lt;=167,FLOOR(($C$2-8)/10,1)-5,FLOOR(($C$2-18)/20+3,1))+3)*C8+IF($C$2&lt;=197,FLOOR(($C$2-8)/10-9,1)*2+1,15))/O10*10^8</f>
        <v>3.6455213328685256</v>
      </c>
      <c r="AB10" s="27">
        <f>((IF($C$2&lt;=167,FLOOR(($C$2-8)/10,1)-5,FLOOR(($C$2-18)/20+3,1))+3)*C8+IF($C$2&lt;=197,FLOOR(($C$2-8)/10-9,1)*2+1,15))/P10*10^8</f>
        <v>5.2078876183836105</v>
      </c>
      <c r="AC10" s="27">
        <f>((IF($C$2&lt;=167,FLOOR(($C$2-8)/10,1)-5,FLOOR(($C$2-18)/20+3,1))+3)*C8+IF($C$2&lt;=197,FLOOR(($C$2-8)/10-9,1)*2+1,15))/Q10*10^8</f>
        <v>5.0155652307250298</v>
      </c>
      <c r="AD10" s="28">
        <f>((IF($C$2&lt;=167,FLOOR(($C$2-8)/10,1)-5,FLOOR(($C$2-18)/20+3,1))+3)*C8+IF($C$2&lt;=197,FLOOR(($C$2-8)/10-9,1)*2+1,15))/R10*10^8</f>
        <v>3.7578585921867664</v>
      </c>
      <c r="AE10" s="29"/>
      <c r="AF10" s="76"/>
      <c r="AG10" s="76"/>
      <c r="AH10" s="26"/>
      <c r="AI10" s="26"/>
      <c r="AJ10" s="26"/>
    </row>
    <row r="11" spans="1:36">
      <c r="A11" s="4"/>
      <c r="B11" s="12" t="s">
        <v>30</v>
      </c>
      <c r="C11" s="68">
        <v>0.03</v>
      </c>
      <c r="L11" s="13"/>
      <c r="M11" s="14"/>
      <c r="N11" s="14">
        <v>21</v>
      </c>
      <c r="O11" s="21">
        <f>H68-H66</f>
        <v>4466375160.8212605</v>
      </c>
      <c r="P11" s="21">
        <f t="shared" ref="P11:R11" si="8">I68-I66</f>
        <v>3126462612.5748825</v>
      </c>
      <c r="Q11" s="21">
        <f t="shared" si="8"/>
        <v>3370343371.9002075</v>
      </c>
      <c r="R11" s="21">
        <f t="shared" si="8"/>
        <v>4328845529.7410412</v>
      </c>
      <c r="S11" s="30"/>
      <c r="T11" s="23" t="s">
        <v>31</v>
      </c>
      <c r="U11" s="24" t="str">
        <f t="shared" si="5"/>
        <v>44.7억</v>
      </c>
      <c r="V11" s="24" t="str">
        <f t="shared" si="5"/>
        <v>31.3억</v>
      </c>
      <c r="W11" s="24" t="str">
        <f t="shared" si="5"/>
        <v>33.7억</v>
      </c>
      <c r="X11" s="25" t="str">
        <f t="shared" si="5"/>
        <v>43.3억</v>
      </c>
      <c r="Y11" s="26"/>
      <c r="Z11" s="23" t="s">
        <v>31</v>
      </c>
      <c r="AA11" s="27">
        <f>((IF($C$2&lt;=167,FLOOR(($C$2-8)/10,1)-5,FLOOR(($C$2-18)/20+3,1))+5)*C8+IF($C$2&lt;=197,FLOOR(($C$2-8)/10-9,1)*2+1,15)+((IF($C$2&lt;=167,FLOOR(($C$2-8)/10,1)-5,FLOOR(($C$2-18)/20+3,1))+4)*C8+IF($C$2&lt;=197,FLOOR(($C$2-8)/10-9,1)*2+1,15)))/O11*10^8</f>
        <v>2.9106377166958826</v>
      </c>
      <c r="AB11" s="27">
        <f>((IF($C$2&lt;=167,FLOOR(($C$2-8)/10,1)-5,FLOOR(($C$2-18)/20+3,1))+5)*C8+IF($C$2&lt;=197,FLOOR(($C$2-8)/10-9,1)*2+1,15)+((IF($C$2&lt;=167,FLOOR(($C$2-8)/10,1)-5,FLOOR(($C$2-18)/20+3,1))+4)*C8+IF($C$2&lt;=197,FLOOR(($C$2-8)/10-9,1)*2+1,15)))/P11*10^8</f>
        <v>4.1580538809941183</v>
      </c>
      <c r="AC11" s="27">
        <f>((IF($C$2&lt;=167,FLOOR(($C$2-8)/10,1)-5,FLOOR(($C$2-18)/20+3,1))+5)*C8+IF($C$2&lt;=197,FLOOR(($C$2-8)/10-9,1)*2+1,15)+((IF($C$2&lt;=167,FLOOR(($C$2-8)/10,1)-5,FLOOR(($C$2-18)/20+3,1))+4)*C8+IF($C$2&lt;=197,FLOOR(($C$2-8)/10-9,1)*2+1,15)))/Q11*10^8</f>
        <v>3.8571737551686227</v>
      </c>
      <c r="AD11" s="28">
        <f>((IF($C$2&lt;=167,FLOOR(($C$2-8)/10,1)-5,FLOOR(($C$2-18)/20+3,1))+5)*C8+IF($C$2&lt;=197,FLOOR(($C$2-8)/10-9,1)*2+1,15)+((IF($C$2&lt;=167,FLOOR(($C$2-8)/10,1)-5,FLOOR(($C$2-18)/20+3,1))+4)*C8+IF($C$2&lt;=197,FLOOR(($C$2-8)/10-9,1)*2+1,15)))/R11*10^8</f>
        <v>3.0031101619783791</v>
      </c>
      <c r="AE11" s="29"/>
      <c r="AF11" s="76"/>
      <c r="AG11" s="76"/>
      <c r="AH11" s="26"/>
      <c r="AI11" s="26"/>
      <c r="AJ11" s="26"/>
    </row>
    <row r="12" spans="1:36" ht="17.25" thickBot="1">
      <c r="A12" s="4"/>
      <c r="B12" s="12" t="s">
        <v>66</v>
      </c>
      <c r="C12" s="71">
        <v>2.5</v>
      </c>
      <c r="L12" s="31"/>
      <c r="M12" s="32"/>
      <c r="N12" s="32">
        <v>22</v>
      </c>
      <c r="O12" s="33">
        <f>H69-H68</f>
        <v>4785295044.2996445</v>
      </c>
      <c r="P12" s="33">
        <f t="shared" ref="P12:R12" si="9">I69-I68</f>
        <v>3349706531.0097504</v>
      </c>
      <c r="Q12" s="33">
        <f t="shared" si="9"/>
        <v>3638264875.3085117</v>
      </c>
      <c r="R12" s="33">
        <f t="shared" si="9"/>
        <v>4624984783.463625</v>
      </c>
      <c r="S12" s="30"/>
      <c r="T12" s="34" t="s">
        <v>32</v>
      </c>
      <c r="U12" s="35" t="str">
        <f t="shared" si="5"/>
        <v>47.9억</v>
      </c>
      <c r="V12" s="35" t="str">
        <f t="shared" si="5"/>
        <v>33.5억</v>
      </c>
      <c r="W12" s="35" t="str">
        <f t="shared" si="5"/>
        <v>36.4억</v>
      </c>
      <c r="X12" s="36" t="str">
        <f t="shared" si="5"/>
        <v>46.2억</v>
      </c>
      <c r="Y12" s="26"/>
      <c r="Z12" s="34" t="s">
        <v>32</v>
      </c>
      <c r="AA12" s="37">
        <f>((IF($C$2&lt;=167,FLOOR(($C$2-8)/10,1)-5,FLOOR(($C$2-18)/20+3,1))+7)*C8+IF($C$2&lt;=197,FLOOR(($C$2-8)/10-9,1)*2+1,15))/O12*10^8</f>
        <v>1.5673014789201294</v>
      </c>
      <c r="AB12" s="37">
        <f>((IF($C$2&lt;=167,FLOOR(($C$2-8)/10,1)-5,FLOOR(($C$2-18)/20+3,1))+7)*C8+IF($C$2&lt;=197,FLOOR(($C$2-8)/10-9,1)*2+1,15))/P12*10^8</f>
        <v>2.2390021127430431</v>
      </c>
      <c r="AC12" s="37">
        <f>((IF($C$2&lt;=167,FLOOR(($C$2-8)/10,1)-5,FLOOR(($C$2-18)/20+3,1))+7)*C8+IF($C$2&lt;=197,FLOOR(($C$2-8)/10-9,1)*2+1,15))/Q12*10^8</f>
        <v>2.0614222045512909</v>
      </c>
      <c r="AD12" s="38">
        <f>((IF($C$2&lt;=167,FLOOR(($C$2-8)/10,1)-5,FLOOR(($C$2-18)/20+3,1))+7)*C8+IF($C$2&lt;=197,FLOOR(($C$2-8)/10-9,1)*2+1,15))/R12*10^8</f>
        <v>1.6216269568747192</v>
      </c>
      <c r="AE12" s="29"/>
      <c r="AF12" s="76"/>
      <c r="AG12" s="76"/>
      <c r="AH12" s="26"/>
      <c r="AI12" s="26"/>
      <c r="AJ12" s="26"/>
    </row>
    <row r="13" spans="1:36" ht="17.25" thickBot="1">
      <c r="A13" s="4"/>
      <c r="B13" s="39" t="s">
        <v>33</v>
      </c>
      <c r="C13" s="72">
        <v>1.2E-2</v>
      </c>
      <c r="L13" s="40"/>
      <c r="M13" s="11"/>
      <c r="N13" s="11"/>
      <c r="O13" s="41"/>
      <c r="P13" s="41"/>
      <c r="Q13" s="41"/>
      <c r="R13" s="41"/>
      <c r="S13" s="42"/>
      <c r="T13" s="26"/>
      <c r="U13" s="26"/>
      <c r="V13" s="26"/>
      <c r="W13" s="26"/>
      <c r="X13" s="26"/>
      <c r="Y13" s="20"/>
      <c r="Z13" s="26"/>
      <c r="AA13" s="26"/>
      <c r="AB13" s="26"/>
      <c r="AC13" s="26"/>
      <c r="AD13" s="26"/>
      <c r="AE13" s="20"/>
      <c r="AF13" s="26"/>
      <c r="AG13" s="26"/>
      <c r="AH13" s="26"/>
      <c r="AI13" s="26"/>
      <c r="AJ13" s="11"/>
    </row>
    <row r="14" spans="1:36">
      <c r="A14" s="4"/>
      <c r="B14" s="43"/>
      <c r="C14" s="44">
        <f>C9*6/(3900/C10*10/3+C12+900/C10/C11)</f>
        <v>4.9769585253456219</v>
      </c>
      <c r="L14" s="4"/>
      <c r="S14" s="51"/>
      <c r="T14" s="73" t="s">
        <v>34</v>
      </c>
      <c r="U14" s="74"/>
      <c r="V14" s="74"/>
      <c r="W14" s="74"/>
      <c r="X14" s="75"/>
      <c r="Y14" s="51"/>
      <c r="Z14" s="45"/>
      <c r="AA14" s="45"/>
      <c r="AB14" s="45"/>
      <c r="AC14" s="45"/>
      <c r="AD14" s="45"/>
      <c r="AE14" s="51"/>
    </row>
    <row r="15" spans="1:36">
      <c r="A15" s="4"/>
      <c r="B15" s="17"/>
      <c r="C15" s="46">
        <f>C9*6/(1650/C10/C13+900/C10/C11)</f>
        <v>1.6119402985074627</v>
      </c>
      <c r="S15" s="51"/>
      <c r="T15" s="12"/>
      <c r="U15" s="18" t="s">
        <v>35</v>
      </c>
      <c r="V15" s="18" t="s">
        <v>36</v>
      </c>
      <c r="W15" s="18" t="s">
        <v>37</v>
      </c>
      <c r="X15" s="19" t="s">
        <v>38</v>
      </c>
      <c r="Y15" s="51"/>
      <c r="AE15" s="51"/>
    </row>
    <row r="16" spans="1:36">
      <c r="A16" s="4"/>
      <c r="S16" s="51"/>
      <c r="T16" s="23" t="s">
        <v>39</v>
      </c>
      <c r="U16" s="47" t="str">
        <f t="shared" ref="U16:X20" si="10">IF(H73="파괴방지X","X","O")</f>
        <v>X</v>
      </c>
      <c r="V16" s="47" t="str">
        <f t="shared" si="10"/>
        <v>X</v>
      </c>
      <c r="W16" s="47" t="str">
        <f t="shared" si="10"/>
        <v>X</v>
      </c>
      <c r="X16" s="48" t="str">
        <f t="shared" si="10"/>
        <v>X</v>
      </c>
      <c r="Y16" s="51"/>
      <c r="AE16" s="51"/>
    </row>
    <row r="17" spans="1:31">
      <c r="A17" s="4"/>
      <c r="S17" s="51"/>
      <c r="T17" s="23" t="s">
        <v>40</v>
      </c>
      <c r="U17" s="47" t="str">
        <f t="shared" si="10"/>
        <v>X</v>
      </c>
      <c r="V17" s="47" t="str">
        <f t="shared" si="10"/>
        <v>X</v>
      </c>
      <c r="W17" s="47" t="str">
        <f t="shared" si="10"/>
        <v>X</v>
      </c>
      <c r="X17" s="48" t="str">
        <f t="shared" si="10"/>
        <v>X</v>
      </c>
      <c r="Y17" s="51"/>
      <c r="AE17" s="51"/>
    </row>
    <row r="18" spans="1:31">
      <c r="S18" s="51"/>
      <c r="T18" s="23" t="s">
        <v>41</v>
      </c>
      <c r="U18" s="47" t="str">
        <f t="shared" si="10"/>
        <v>X</v>
      </c>
      <c r="V18" s="47" t="str">
        <f t="shared" si="10"/>
        <v>X</v>
      </c>
      <c r="W18" s="47" t="str">
        <f t="shared" si="10"/>
        <v>X</v>
      </c>
      <c r="X18" s="48" t="str">
        <f t="shared" si="10"/>
        <v>X</v>
      </c>
      <c r="Y18" s="51"/>
      <c r="AE18" s="51"/>
    </row>
    <row r="19" spans="1:31">
      <c r="S19" s="51"/>
      <c r="T19" s="23" t="s">
        <v>42</v>
      </c>
      <c r="U19" s="47" t="str">
        <f t="shared" si="10"/>
        <v>X</v>
      </c>
      <c r="V19" s="47" t="str">
        <f t="shared" si="10"/>
        <v>X</v>
      </c>
      <c r="W19" s="47" t="str">
        <f t="shared" si="10"/>
        <v>X</v>
      </c>
      <c r="X19" s="48" t="str">
        <f t="shared" si="10"/>
        <v>X</v>
      </c>
      <c r="Y19" s="51"/>
      <c r="AE19" s="51"/>
    </row>
    <row r="20" spans="1:31" ht="17.25" thickBot="1">
      <c r="S20" s="51"/>
      <c r="T20" s="34" t="s">
        <v>43</v>
      </c>
      <c r="U20" s="49" t="str">
        <f t="shared" si="10"/>
        <v>X</v>
      </c>
      <c r="V20" s="49" t="str">
        <f t="shared" si="10"/>
        <v>X</v>
      </c>
      <c r="W20" s="49" t="str">
        <f t="shared" si="10"/>
        <v>X</v>
      </c>
      <c r="X20" s="50" t="str">
        <f t="shared" si="10"/>
        <v>X</v>
      </c>
      <c r="Y20" s="51"/>
      <c r="AE20" s="51"/>
    </row>
    <row r="21" spans="1:31">
      <c r="S21" s="51"/>
      <c r="Y21" s="51"/>
      <c r="AE21" s="51"/>
    </row>
    <row r="22" spans="1:31">
      <c r="S22" s="51"/>
      <c r="Y22" s="51"/>
      <c r="AE22" s="51"/>
    </row>
    <row r="23" spans="1:31">
      <c r="S23" s="51"/>
      <c r="Y23" s="51"/>
      <c r="AE23" s="51"/>
    </row>
    <row r="24" spans="1:31">
      <c r="S24" s="51"/>
      <c r="Y24" s="51"/>
      <c r="AE24" s="51"/>
    </row>
    <row r="25" spans="1:31">
      <c r="S25" s="51"/>
      <c r="Y25" s="51"/>
      <c r="AE25" s="51"/>
    </row>
    <row r="26" spans="1:31">
      <c r="S26" s="51"/>
      <c r="Y26" s="51"/>
      <c r="AE26" s="51"/>
    </row>
    <row r="27" spans="1:31">
      <c r="S27" s="51"/>
      <c r="Y27" s="51"/>
      <c r="AE27" s="51"/>
    </row>
    <row r="28" spans="1:31">
      <c r="S28" s="51"/>
      <c r="Y28" s="51"/>
      <c r="AE28" s="51"/>
    </row>
    <row r="29" spans="1:31">
      <c r="S29" s="51"/>
      <c r="Y29" s="51"/>
      <c r="AE29" s="51"/>
    </row>
    <row r="30" spans="1:31">
      <c r="S30" s="51"/>
      <c r="Y30" s="51"/>
      <c r="AE30" s="51"/>
    </row>
    <row r="31" spans="1:31">
      <c r="L31" s="4"/>
      <c r="S31" s="51"/>
      <c r="Y31" s="51"/>
      <c r="AE31" s="51"/>
    </row>
    <row r="32" spans="1:31">
      <c r="L32" s="4"/>
      <c r="S32" s="51"/>
      <c r="Y32" s="51"/>
      <c r="AE32" s="51"/>
    </row>
    <row r="33" spans="1:31">
      <c r="L33" s="4"/>
      <c r="S33" s="51"/>
      <c r="Y33" s="51"/>
      <c r="AE33" s="51"/>
    </row>
    <row r="34" spans="1:31">
      <c r="L34" s="4"/>
      <c r="S34" s="51"/>
      <c r="Y34" s="51"/>
      <c r="AE34" s="51"/>
    </row>
    <row r="35" spans="1:31">
      <c r="S35" s="51"/>
      <c r="Y35" s="51"/>
      <c r="AE35" s="51"/>
    </row>
    <row r="36" spans="1:31">
      <c r="S36" s="51"/>
      <c r="Y36" s="51"/>
      <c r="AE36" s="51"/>
    </row>
    <row r="37" spans="1:31">
      <c r="S37" s="51"/>
      <c r="Y37" s="51"/>
      <c r="AE37" s="51"/>
    </row>
    <row r="38" spans="1:31">
      <c r="S38" s="51"/>
      <c r="Y38" s="51"/>
      <c r="AE38" s="51"/>
    </row>
    <row r="39" spans="1:31">
      <c r="S39" s="51"/>
      <c r="Y39" s="51"/>
      <c r="AE39" s="51"/>
    </row>
    <row r="40" spans="1:3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52"/>
      <c r="T40" s="4"/>
      <c r="U40" s="4"/>
      <c r="V40" s="4"/>
      <c r="Y40" s="51"/>
      <c r="AE40" s="51"/>
    </row>
    <row r="41" spans="1:3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52"/>
      <c r="T41" s="4"/>
      <c r="U41" s="4"/>
      <c r="V41" s="4"/>
      <c r="Y41" s="51"/>
      <c r="AE41" s="51"/>
    </row>
    <row r="42" spans="1:3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2"/>
      <c r="T42" s="4"/>
      <c r="U42" s="4"/>
      <c r="V42" s="4"/>
      <c r="Y42" s="51"/>
      <c r="AE42" s="51"/>
    </row>
    <row r="43" spans="1:3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52"/>
      <c r="T43" s="4"/>
      <c r="U43" s="4"/>
      <c r="V43" s="4"/>
      <c r="Y43" s="51"/>
      <c r="AE43" s="51"/>
    </row>
    <row r="44" spans="1:3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2"/>
      <c r="T44" s="4"/>
      <c r="U44" s="4"/>
      <c r="V44" s="4"/>
      <c r="Y44" s="51"/>
      <c r="AE44" s="51"/>
    </row>
    <row r="45" spans="1:3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52"/>
      <c r="T45" s="4"/>
      <c r="U45" s="4"/>
      <c r="V45" s="4"/>
      <c r="Y45" s="51"/>
      <c r="AE45" s="51"/>
    </row>
    <row r="46" spans="1:3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52"/>
      <c r="T46" s="4"/>
      <c r="U46" s="4"/>
      <c r="V46" s="4"/>
      <c r="Y46" s="51"/>
      <c r="AE46" s="51"/>
    </row>
    <row r="47" spans="1:31">
      <c r="A47" s="52" t="s">
        <v>44</v>
      </c>
      <c r="B47" s="52">
        <f>C2</f>
        <v>150</v>
      </c>
      <c r="C47" s="52" t="s">
        <v>45</v>
      </c>
      <c r="D47" s="53" t="s">
        <v>46</v>
      </c>
      <c r="E47" s="52" t="s">
        <v>47</v>
      </c>
      <c r="F47" s="52" t="s">
        <v>48</v>
      </c>
      <c r="G47" s="53" t="s">
        <v>49</v>
      </c>
      <c r="H47" s="52" t="s">
        <v>50</v>
      </c>
      <c r="I47" s="52" t="s">
        <v>4</v>
      </c>
      <c r="J47" s="52" t="s">
        <v>51</v>
      </c>
      <c r="K47" s="52" t="s">
        <v>52</v>
      </c>
      <c r="L47" s="4"/>
      <c r="M47" s="4"/>
      <c r="N47" s="4"/>
      <c r="O47" s="4"/>
      <c r="P47" s="4"/>
      <c r="Q47" s="4"/>
      <c r="R47" s="4"/>
      <c r="S47" s="52"/>
      <c r="T47" s="4"/>
      <c r="U47" s="4"/>
      <c r="V47" s="4"/>
      <c r="Y47" s="51"/>
      <c r="AE47" s="51"/>
    </row>
    <row r="48" spans="1:31">
      <c r="A48" s="4" t="s">
        <v>2</v>
      </c>
      <c r="B48" s="54">
        <f>C3</f>
        <v>0.03</v>
      </c>
      <c r="C48" s="55">
        <v>1</v>
      </c>
      <c r="D48" s="56">
        <f>0.95+B52</f>
        <v>0.97</v>
      </c>
      <c r="E48" s="56">
        <f>1-D48-F48</f>
        <v>3.0000000000000027E-2</v>
      </c>
      <c r="F48" s="56">
        <v>0</v>
      </c>
      <c r="G48" s="57">
        <f>ROUND(1000+B47^3*C48/25,-2)</f>
        <v>136000</v>
      </c>
      <c r="H48" s="58">
        <f>G48*H78/D48</f>
        <v>136000</v>
      </c>
      <c r="I48" s="58">
        <f>G48*I78/D48</f>
        <v>95199.999999999985</v>
      </c>
      <c r="J48" s="58">
        <f>G48*J78/D48</f>
        <v>136000</v>
      </c>
      <c r="K48" s="59">
        <f>G48*K78/D48</f>
        <v>136000</v>
      </c>
      <c r="L48" s="4"/>
      <c r="M48" s="4"/>
      <c r="N48" s="4"/>
      <c r="O48" s="4"/>
      <c r="P48" s="4"/>
      <c r="Q48" s="4"/>
      <c r="R48" s="4"/>
      <c r="S48" s="52"/>
      <c r="T48" s="4"/>
      <c r="U48" s="4"/>
      <c r="V48" s="4"/>
      <c r="Y48" s="51"/>
      <c r="AE48" s="51"/>
    </row>
    <row r="49" spans="1:31">
      <c r="A49" s="4" t="s">
        <v>53</v>
      </c>
      <c r="B49" s="54">
        <f>C4</f>
        <v>0</v>
      </c>
      <c r="C49" s="55">
        <v>2</v>
      </c>
      <c r="D49" s="56">
        <f>0.9+B52</f>
        <v>0.92</v>
      </c>
      <c r="E49" s="56">
        <f t="shared" ref="E49:E59" si="11">1-D49-F49</f>
        <v>7.999999999999996E-2</v>
      </c>
      <c r="F49" s="56">
        <v>0</v>
      </c>
      <c r="G49" s="57">
        <f>ROUND(1000+B47^3*C49/25,-2)</f>
        <v>271000</v>
      </c>
      <c r="H49" s="60">
        <f>G49*H78/D49+H48</f>
        <v>421728.26086956519</v>
      </c>
      <c r="I49" s="60">
        <f>G49*I78/D49+I48</f>
        <v>295209.78260869562</v>
      </c>
      <c r="J49" s="60">
        <f>G49*J78/D49+J48</f>
        <v>421728.26086956519</v>
      </c>
      <c r="K49" s="59">
        <f>G48*K78/D48</f>
        <v>136000</v>
      </c>
      <c r="L49" s="4"/>
      <c r="M49" s="4"/>
      <c r="N49" s="4"/>
      <c r="O49" s="4"/>
      <c r="P49" s="4"/>
      <c r="Q49" s="4"/>
      <c r="R49" s="4"/>
      <c r="S49" s="52"/>
      <c r="T49" s="4"/>
      <c r="U49" s="4"/>
      <c r="V49" s="4"/>
      <c r="Y49" s="51"/>
      <c r="AE49" s="51"/>
    </row>
    <row r="50" spans="1:31">
      <c r="A50" s="4"/>
      <c r="B50" s="54"/>
      <c r="C50" s="55">
        <v>3</v>
      </c>
      <c r="D50" s="56">
        <f>0.85+B52</f>
        <v>0.87</v>
      </c>
      <c r="E50" s="56">
        <f t="shared" si="11"/>
        <v>0.13</v>
      </c>
      <c r="F50" s="56">
        <v>0</v>
      </c>
      <c r="G50" s="57">
        <f>ROUND(1000+B47^3*C50/25,-2)</f>
        <v>406000</v>
      </c>
      <c r="H50" s="60">
        <f>G50*H78/D50+H49</f>
        <v>874394.92753623193</v>
      </c>
      <c r="I50" s="60">
        <f>G50*I78/D50+I49</f>
        <v>612076.44927536231</v>
      </c>
      <c r="J50" s="60">
        <f>G50*J78/D50+J49</f>
        <v>874394.92753623193</v>
      </c>
      <c r="K50" s="59">
        <f>G49*K78/D49+K48</f>
        <v>421728.26086956519</v>
      </c>
      <c r="L50" s="4"/>
      <c r="M50" s="4"/>
      <c r="N50" s="4"/>
      <c r="O50" s="4"/>
      <c r="P50" s="4"/>
      <c r="Q50" s="4"/>
      <c r="R50" s="4"/>
      <c r="S50" s="52"/>
      <c r="T50" s="4"/>
      <c r="U50" s="4"/>
      <c r="V50" s="4"/>
      <c r="Y50" s="51"/>
      <c r="AE50" s="51"/>
    </row>
    <row r="51" spans="1:31">
      <c r="A51" s="4" t="s">
        <v>54</v>
      </c>
      <c r="B51" s="58">
        <f>C5*10^8</f>
        <v>0</v>
      </c>
      <c r="C51" s="55">
        <v>4</v>
      </c>
      <c r="D51" s="56">
        <f>0.85+B52</f>
        <v>0.87</v>
      </c>
      <c r="E51" s="56">
        <f t="shared" si="11"/>
        <v>0.13</v>
      </c>
      <c r="F51" s="56">
        <v>0</v>
      </c>
      <c r="G51" s="57">
        <f>ROUND(1000+B47^3*C51/25,-2)</f>
        <v>541000</v>
      </c>
      <c r="H51" s="60">
        <f>G51*H78/D51+H50</f>
        <v>1477578.8355822088</v>
      </c>
      <c r="I51" s="60">
        <f>G51*I78/D51+I50</f>
        <v>1034305.1849075462</v>
      </c>
      <c r="J51" s="60">
        <f>G51*J78/D51+J50</f>
        <v>1477578.8355822088</v>
      </c>
      <c r="K51" s="59">
        <f>G50*K78/D50+K49</f>
        <v>588666.66666666674</v>
      </c>
      <c r="L51" s="4"/>
      <c r="M51" s="4"/>
      <c r="N51" s="4"/>
      <c r="O51" s="4"/>
      <c r="P51" s="4"/>
      <c r="Q51" s="4"/>
      <c r="R51" s="4"/>
      <c r="S51" s="52"/>
      <c r="T51" s="4"/>
      <c r="U51" s="4"/>
      <c r="V51" s="4"/>
      <c r="Y51" s="51"/>
      <c r="AE51" s="51"/>
    </row>
    <row r="52" spans="1:31">
      <c r="A52" s="4" t="s">
        <v>55</v>
      </c>
      <c r="B52" s="56">
        <f>C6</f>
        <v>0.02</v>
      </c>
      <c r="C52" s="55">
        <v>5</v>
      </c>
      <c r="D52" s="56">
        <f>0.8+B52</f>
        <v>0.82000000000000006</v>
      </c>
      <c r="E52" s="56">
        <f t="shared" si="11"/>
        <v>0.17999999999999994</v>
      </c>
      <c r="F52" s="56">
        <v>0</v>
      </c>
      <c r="G52" s="57">
        <f>ROUND(1000+B47^3*C52/25,-2)</f>
        <v>676000</v>
      </c>
      <c r="H52" s="60">
        <f>G52*H78/D52+H51</f>
        <v>2277237.3721675747</v>
      </c>
      <c r="I52" s="60">
        <f>G52*I78/D52+I51</f>
        <v>1594066.1605173021</v>
      </c>
      <c r="J52" s="60">
        <f>G52*J78/D52+J51</f>
        <v>2277237.3721675747</v>
      </c>
      <c r="K52" s="59">
        <f>G51*K78/D51+K50</f>
        <v>1024912.1689155422</v>
      </c>
      <c r="L52" s="4"/>
      <c r="M52" s="4"/>
      <c r="N52" s="4"/>
      <c r="O52" s="4"/>
      <c r="P52" s="4"/>
      <c r="Q52" s="4"/>
      <c r="R52" s="4"/>
      <c r="S52" s="52"/>
      <c r="T52" s="4"/>
      <c r="U52" s="4"/>
      <c r="V52" s="4"/>
      <c r="Y52" s="51"/>
      <c r="AE52" s="51"/>
    </row>
    <row r="53" spans="1:31">
      <c r="A53" s="4"/>
      <c r="B53" s="54"/>
      <c r="C53" s="55">
        <v>6</v>
      </c>
      <c r="D53" s="56">
        <f>0.75+B52</f>
        <v>0.77</v>
      </c>
      <c r="E53" s="56">
        <f t="shared" si="11"/>
        <v>0.22999999999999998</v>
      </c>
      <c r="F53" s="56">
        <v>0</v>
      </c>
      <c r="G53" s="57">
        <f>ROUND(1000+B47^3*C53/25,-2)</f>
        <v>811000</v>
      </c>
      <c r="H53" s="60">
        <f>G53*H78/D53+H52</f>
        <v>3298886.7228169255</v>
      </c>
      <c r="I53" s="60">
        <f>G53*I78/D53+I52</f>
        <v>2309220.7059718473</v>
      </c>
      <c r="J53" s="60">
        <f>J52+G53*J78</f>
        <v>3063907.3721675747</v>
      </c>
      <c r="K53" s="59">
        <f>G52*K78/D52+K51</f>
        <v>1388325.2032520324</v>
      </c>
      <c r="L53" s="4"/>
      <c r="M53" s="4"/>
      <c r="N53" s="4"/>
      <c r="O53" s="4"/>
      <c r="P53" s="4"/>
      <c r="Q53" s="4"/>
      <c r="R53" s="4"/>
      <c r="S53" s="52"/>
      <c r="T53" s="4"/>
      <c r="U53" s="4"/>
      <c r="V53" s="4"/>
      <c r="Y53" s="51"/>
      <c r="AE53" s="51"/>
    </row>
    <row r="54" spans="1:31">
      <c r="A54" s="4" t="s">
        <v>56</v>
      </c>
      <c r="B54" s="4" t="str">
        <f>C7</f>
        <v>N</v>
      </c>
      <c r="C54" s="55">
        <v>7</v>
      </c>
      <c r="D54" s="56">
        <f>0.7+B52</f>
        <v>0.72</v>
      </c>
      <c r="E54" s="56">
        <f t="shared" si="11"/>
        <v>0.28000000000000003</v>
      </c>
      <c r="F54" s="56">
        <v>0</v>
      </c>
      <c r="G54" s="57">
        <f>ROUND(1000+B47^3*C54/25,-2)</f>
        <v>946000</v>
      </c>
      <c r="H54" s="60">
        <f>G54*H78/D54+H53</f>
        <v>4573358.9450391475</v>
      </c>
      <c r="I54" s="60">
        <f>G54*I78/D54+I53</f>
        <v>3201351.2615274028</v>
      </c>
      <c r="J54" s="60">
        <f>G54*J78/D54+J53</f>
        <v>4338379.5943897972</v>
      </c>
      <c r="K54" s="59">
        <f>G53*K78/D53+K52</f>
        <v>2046561.5195648929</v>
      </c>
      <c r="L54" s="4"/>
      <c r="M54" s="4"/>
      <c r="N54" s="4"/>
      <c r="O54" s="4"/>
      <c r="P54" s="4"/>
      <c r="Q54" s="4"/>
      <c r="R54" s="4"/>
      <c r="S54" s="52"/>
      <c r="T54" s="4"/>
      <c r="U54" s="4"/>
      <c r="V54" s="4"/>
      <c r="Y54" s="51"/>
      <c r="AE54" s="51"/>
    </row>
    <row r="55" spans="1:31">
      <c r="A55" s="4"/>
      <c r="B55" s="4"/>
      <c r="C55" s="55">
        <v>8</v>
      </c>
      <c r="D55" s="56">
        <f>0.65+B52</f>
        <v>0.67</v>
      </c>
      <c r="E55" s="56">
        <f t="shared" si="11"/>
        <v>0.32999999999999996</v>
      </c>
      <c r="F55" s="56">
        <v>0</v>
      </c>
      <c r="G55" s="57">
        <f>ROUND(1000+B47^3*C55/25,-2)</f>
        <v>1081000</v>
      </c>
      <c r="H55" s="60">
        <f>G55*H78/D55+H54</f>
        <v>6138388.7957854159</v>
      </c>
      <c r="I55" s="60">
        <f>G55*I78/D55+I54</f>
        <v>4296872.157049791</v>
      </c>
      <c r="J55" s="60">
        <f>G55*J78/D55+J54</f>
        <v>5903409.4451360656</v>
      </c>
      <c r="K55" s="59">
        <f>G54*K78/D54+K53</f>
        <v>2662797.4254742544</v>
      </c>
      <c r="L55" s="4"/>
      <c r="M55" s="4"/>
      <c r="N55" s="4"/>
      <c r="O55" s="4"/>
      <c r="P55" s="4"/>
      <c r="Q55" s="4"/>
      <c r="R55" s="4"/>
      <c r="S55" s="52"/>
      <c r="T55" s="4"/>
      <c r="U55" s="4"/>
      <c r="V55" s="4"/>
      <c r="Y55" s="51"/>
      <c r="AE55" s="51"/>
    </row>
    <row r="56" spans="1:31">
      <c r="A56" s="4"/>
      <c r="B56" s="4"/>
      <c r="C56" s="55">
        <v>9</v>
      </c>
      <c r="D56" s="56">
        <f>0.6+B52</f>
        <v>0.62</v>
      </c>
      <c r="E56" s="56">
        <f t="shared" si="11"/>
        <v>0.38</v>
      </c>
      <c r="F56" s="56">
        <v>0</v>
      </c>
      <c r="G56" s="57">
        <f>ROUND(1000+B47^3*C56/25,-2)</f>
        <v>1216000</v>
      </c>
      <c r="H56" s="60">
        <f>G56*H78/D56+H55</f>
        <v>8040840.4086886421</v>
      </c>
      <c r="I56" s="60">
        <f>G56*I78/D56+I55</f>
        <v>5628588.2860820489</v>
      </c>
      <c r="J56" s="60">
        <f>G56*J78/D56+J55</f>
        <v>7805861.0580392918</v>
      </c>
      <c r="K56" s="59">
        <f>G55*K78/D55+K54</f>
        <v>3611591.3703111615</v>
      </c>
      <c r="L56" s="4"/>
      <c r="M56" s="4"/>
      <c r="N56" s="4"/>
      <c r="O56" s="4"/>
      <c r="P56" s="4"/>
      <c r="Q56" s="4"/>
      <c r="R56" s="4"/>
      <c r="S56" s="52"/>
      <c r="T56" s="4"/>
      <c r="U56" s="4"/>
      <c r="V56" s="4"/>
      <c r="Y56" s="51"/>
      <c r="AE56" s="51"/>
    </row>
    <row r="57" spans="1:31">
      <c r="A57" s="4"/>
      <c r="B57" s="4"/>
      <c r="C57" s="61">
        <v>10</v>
      </c>
      <c r="D57" s="62">
        <f>0.55+B52</f>
        <v>0.57000000000000006</v>
      </c>
      <c r="E57" s="62">
        <f t="shared" si="11"/>
        <v>0.42999999999999994</v>
      </c>
      <c r="F57" s="62">
        <v>0</v>
      </c>
      <c r="G57" s="63">
        <f>ROUND(1000+B47^3*C57/25,-2)</f>
        <v>1351000</v>
      </c>
      <c r="H57" s="60">
        <f>G57*H78/D57+H56</f>
        <v>10339910.584127238</v>
      </c>
      <c r="I57" s="60">
        <f>G57*I78/D57+I56</f>
        <v>7237937.4088890664</v>
      </c>
      <c r="J57" s="60">
        <f>G57*J78/D57+J56</f>
        <v>10104931.233477889</v>
      </c>
      <c r="K57" s="59">
        <f>G56*K78/D56+K55</f>
        <v>4565249.0383774806</v>
      </c>
      <c r="L57" s="4"/>
      <c r="M57" s="4"/>
      <c r="N57" s="4"/>
      <c r="O57" s="4"/>
      <c r="P57" s="4"/>
      <c r="Q57" s="4"/>
      <c r="R57" s="4"/>
      <c r="S57" s="52"/>
      <c r="T57" s="4"/>
      <c r="U57" s="4"/>
      <c r="V57" s="4"/>
      <c r="Y57" s="51"/>
      <c r="AE57" s="51"/>
    </row>
    <row r="58" spans="1:31">
      <c r="A58" s="4"/>
      <c r="B58" s="4"/>
      <c r="C58" s="55">
        <v>11</v>
      </c>
      <c r="D58" s="56">
        <f>0.5+B52</f>
        <v>0.52</v>
      </c>
      <c r="E58" s="56">
        <f t="shared" si="11"/>
        <v>0.48</v>
      </c>
      <c r="F58" s="56">
        <v>0</v>
      </c>
      <c r="G58" s="57">
        <f>ROUND(1000+(C58^2.7)/400*B47^3,-2)</f>
        <v>5470800</v>
      </c>
      <c r="H58" s="60">
        <f>G58*H78/D58+H57</f>
        <v>20545056.737973392</v>
      </c>
      <c r="I58" s="60">
        <f>G58*I78/D58+I57</f>
        <v>14381539.716581374</v>
      </c>
      <c r="J58" s="60">
        <f>J57+G58*J78</f>
        <v>15411607.233477889</v>
      </c>
      <c r="K58" s="59">
        <f>G57*K78/D57+K56</f>
        <v>5910661.5457497574</v>
      </c>
      <c r="L58" s="4"/>
      <c r="M58" s="4"/>
      <c r="N58" s="4"/>
      <c r="O58" s="4"/>
      <c r="P58" s="4"/>
      <c r="Q58" s="4"/>
      <c r="R58" s="4"/>
      <c r="S58" s="52"/>
      <c r="T58" s="4"/>
      <c r="U58" s="4"/>
      <c r="V58" s="4"/>
      <c r="Y58" s="51"/>
      <c r="AE58" s="51"/>
    </row>
    <row r="59" spans="1:31">
      <c r="A59" s="4"/>
      <c r="B59" s="4"/>
      <c r="C59" s="55">
        <v>12</v>
      </c>
      <c r="D59" s="56">
        <f>0.45+B52</f>
        <v>0.47000000000000003</v>
      </c>
      <c r="E59" s="56">
        <f t="shared" si="11"/>
        <v>0.53</v>
      </c>
      <c r="F59" s="56">
        <v>0</v>
      </c>
      <c r="G59" s="57">
        <f>ROUND(1000+(C59^2.7)/400*B47^3,-2)</f>
        <v>6919400</v>
      </c>
      <c r="H59" s="60">
        <f>(G59*H78+E59*(H58-H57))/D59+H58</f>
        <v>46333451.3369914</v>
      </c>
      <c r="I59" s="60">
        <f>(G59*I78+E59*(I58-I57))/D59+I58</f>
        <v>32433415.935893975</v>
      </c>
      <c r="J59" s="60">
        <f>(G59*J78+E59*(J58-J57))/D59+J58</f>
        <v>35676195.063265122</v>
      </c>
      <c r="K59" s="59">
        <f>G58*K78/D58+K57</f>
        <v>14770395.192223635</v>
      </c>
      <c r="L59" s="4"/>
      <c r="M59" s="4"/>
      <c r="N59" s="4"/>
      <c r="O59" s="4"/>
      <c r="P59" s="4"/>
      <c r="Q59" s="4"/>
      <c r="R59" s="4"/>
      <c r="S59" s="52"/>
      <c r="T59" s="4"/>
      <c r="U59" s="4"/>
      <c r="V59" s="4"/>
      <c r="Y59" s="51"/>
      <c r="AE59" s="51"/>
    </row>
    <row r="60" spans="1:31">
      <c r="A60" s="4"/>
      <c r="B60" s="56"/>
      <c r="C60" s="55">
        <v>13</v>
      </c>
      <c r="D60" s="56">
        <f>0.4+B52</f>
        <v>0.42000000000000004</v>
      </c>
      <c r="E60" s="56">
        <f>IF(B54="Y",(1-D60),(1-D60)*0.99)</f>
        <v>0.57419999999999993</v>
      </c>
      <c r="F60" s="56">
        <f>(1-D60-E60)</f>
        <v>5.8000000000000274E-3</v>
      </c>
      <c r="G60" s="57">
        <f>ROUND(1000+(C60^2.7)/400*B47^3,-2)</f>
        <v>8588400</v>
      </c>
      <c r="H60" s="60">
        <f>MIN((G60*H78+E60*G59*H78+E60*E59*(G58*H78+H59-H58)+F60*(B51+H59-H59))/D60+H59,(G60*H80+(E60+F60)*G59*H78+(E60+F60)*E59*(G58*H78+H59-H58))/D60+H59)</f>
        <v>97875623.600602716</v>
      </c>
      <c r="I60" s="60">
        <f>MIN((G60*I78+E60*G59*I78+E60*E59*(G58*I78+I59-I58)+F60*(B51+I59-I59))/D60+I59,(G60*I80+(E60+F60)*G59*I78+(E60+F60)*E59*(G58*I78+I59-I58))/D60+I59)</f>
        <v>68512936.520421892</v>
      </c>
      <c r="J60" s="60">
        <f>MIN((G60*J78+E60*G59*J78+E60*E59*(G58*J78+J59-J58)+F60*(B51+J59-J59))/D60+J59,(G60*J80+(E60+F60)*G59*J78+(E60+F60)*E59*(G58*J78+J59-J58))/D60+J59)</f>
        <v>83215895.853417099</v>
      </c>
      <c r="K60" s="60">
        <f>MIN((G60*K78+E60*G59*K78+E60*E59*(G58*K78)+F60*(B51+K59-K59))/D60+K59,(G60*K80+(E60+F60)*G59*K78+(E60+F60)*E59*(G58*K78))/D60+K59)</f>
        <v>47626665.135023624</v>
      </c>
      <c r="L60" s="4"/>
      <c r="M60" s="4"/>
      <c r="N60" s="4"/>
      <c r="O60" s="4"/>
      <c r="P60" s="4"/>
      <c r="Q60" s="4"/>
      <c r="R60" s="4"/>
      <c r="S60" s="52"/>
      <c r="T60" s="4"/>
      <c r="U60" s="4"/>
      <c r="V60" s="4"/>
      <c r="Y60" s="51"/>
      <c r="AE60" s="51"/>
    </row>
    <row r="61" spans="1:31">
      <c r="A61" s="4"/>
      <c r="B61" s="4"/>
      <c r="C61" s="55">
        <v>14</v>
      </c>
      <c r="D61" s="56">
        <f>0.35+B52</f>
        <v>0.37</v>
      </c>
      <c r="E61" s="56">
        <f>IF(B54="Y",(1-D61),(1-D61)*0.98)</f>
        <v>0.61739999999999995</v>
      </c>
      <c r="F61" s="56">
        <f>(1-D61-E61)</f>
        <v>1.2600000000000056E-2</v>
      </c>
      <c r="G61" s="57">
        <f>ROUND(1000+(C61^2.7)/400*B47^3,-2)</f>
        <v>10490600</v>
      </c>
      <c r="H61" s="60">
        <f>MIN((G61*H78+E61*G60*H78+E61*E60*(G59*H78+H60-H59)+F61*(B51+H60-H59)+E61*F60*(B51+H60-H59))/D61+H60,(G61*H80+(E61+F61)*G60*H80+(E61+F61)*(E60+F60)*(G59*H78+H60-H59))/D61+H60)</f>
        <v>197348517.07056499</v>
      </c>
      <c r="I61" s="60">
        <f>MIN((G61*I78+E61*G60*I78+E61*E60*(G59*I78+I60-I59)+F61*(B51+I60-I59)+E61*F60*(B51+I60-I59))/D61+I60,(G61*I80+(E61+F61)*G60*I80+(E61+F61)*(E60+F60)*(G59*I78+I60-I59))/D61+I60)</f>
        <v>138143961.94939548</v>
      </c>
      <c r="J61" s="60">
        <f>MIN((G61*J78+E61*G60*J78+E61*E60*(G59*J78+J60-J59)+F61*(B51+J60-J59)+E61*F60*(B51+J60-J59))/D61+J60,(G61*J80+(E61+F61)*G60*J80+(E61+F61)*(E60+F60)*(G59*J78+J60-J59))/D61+J60)</f>
        <v>178678832.14651564</v>
      </c>
      <c r="K61" s="60">
        <f>MIN((G61*K78+E61*G60*K78+E61*E60*(G59*K78+K60-K59)+F61*(B51+K60-K59)+E61*F60*(B51+K60-K59))/D61+K60,(G61*K80+(E61+F61)*G60*K80+(E61+F61)*(E60+F60)*(G59*K78+K60-K59))/D61+K60)</f>
        <v>128378708.5965908</v>
      </c>
      <c r="L61" s="4"/>
      <c r="M61" s="4"/>
      <c r="N61" s="4"/>
      <c r="O61" s="4"/>
      <c r="P61" s="4"/>
      <c r="Q61" s="4"/>
      <c r="R61" s="4"/>
      <c r="S61" s="52"/>
      <c r="T61" s="4"/>
      <c r="U61" s="4"/>
      <c r="V61" s="4"/>
      <c r="Y61" s="51"/>
      <c r="AE61" s="51"/>
    </row>
    <row r="62" spans="1:31">
      <c r="A62" s="4"/>
      <c r="B62" s="4"/>
      <c r="C62" s="55">
        <v>15</v>
      </c>
      <c r="D62" s="56">
        <f>0.3+B52</f>
        <v>0.32</v>
      </c>
      <c r="E62" s="56">
        <f>IF(B54="Y",(1-D62),(1-D62)*0.98)</f>
        <v>0.66639999999999988</v>
      </c>
      <c r="F62" s="56">
        <f t="shared" ref="F62:F72" si="12">(1-D62-E62)</f>
        <v>1.3600000000000056E-2</v>
      </c>
      <c r="G62" s="57">
        <f>ROUND(1000+(C62^2.7)/400*B47^3,-2)</f>
        <v>12638500</v>
      </c>
      <c r="H62" s="60">
        <f>MIN((G62*H78+E62*G61*H78+E62*E61*(G60*H78+H61-H60)+F62*(B51+H61-H59)+E62*F61*(B51+H61-H59))/D62+H61,(G62*H80+(E62+F62)*G61*H80+(E62+F62)*(E61+F61)*(G60*H78+H61-H60))/D62+H61)</f>
        <v>405837913.43876064</v>
      </c>
      <c r="I62" s="60">
        <f>MIN((G62*I78+E62*G61*I78+E62*E61*(G60*I78+I61-I60)+F62*(B51+I61-I59)+E62*F61*(B51+I61-I59))/D62+I61,(G62*I80+(E62+F62)*G61*I80+(E62+F62)*(E61+F61)*(G60*I78+I61-I60))/D62+I61)</f>
        <v>284086539.40713239</v>
      </c>
      <c r="J62" s="60">
        <f>MIN((G62*J78+E62*G61*J78+E62*E61*(G60*J78+J61-J60)+F62*(B51+J61-J59)+E62*F61*(B51+J61-J59))/D62+J61,(G62*J80+(E62+F62)*G61*J80+(E62+F62)*(E61+F61)*(G60*J78+J61-J60))/D62+J61)</f>
        <v>381461713.87972891</v>
      </c>
      <c r="K62" s="60">
        <f>MIN((G62*K78+E62*G61*K78+E62*E61*(G60*K78+K61-K60)+F62*(B51+K61-K59)+E62*F61*(B51+K61-K59))/D62+K61,(G62*K80+(E62+F62)*G61*K80+(E62+F62)*(E61+F61)*(G60*K78+K61-K60))/D62+K61)</f>
        <v>310226722.06708413</v>
      </c>
      <c r="L62" s="4"/>
      <c r="M62" s="4"/>
      <c r="N62" s="4"/>
      <c r="O62" s="4"/>
      <c r="P62" s="4"/>
      <c r="Q62" s="4"/>
      <c r="R62" s="4"/>
      <c r="S62" s="52"/>
      <c r="T62" s="4"/>
      <c r="U62" s="4"/>
      <c r="V62" s="4"/>
      <c r="Y62" s="51"/>
      <c r="AE62" s="51"/>
    </row>
    <row r="63" spans="1:31">
      <c r="A63" s="4"/>
      <c r="B63" s="56"/>
      <c r="C63" s="55">
        <v>16</v>
      </c>
      <c r="D63" s="56">
        <f>0.3+B52</f>
        <v>0.32</v>
      </c>
      <c r="E63" s="56">
        <f>(1-D63)*0.97</f>
        <v>0.65959999999999996</v>
      </c>
      <c r="F63" s="56">
        <f t="shared" si="12"/>
        <v>2.0399999999999974E-2</v>
      </c>
      <c r="G63" s="57">
        <f>ROUND(1000+B47^3*(C63^2.7)/200,-2)</f>
        <v>30087200</v>
      </c>
      <c r="H63" s="60">
        <f>MIN((G63*H78+F63*(B51+H62-H59))/D63+H62,(G63*H80)/D63+H62)</f>
        <v>519958147.89774841</v>
      </c>
      <c r="I63" s="60">
        <f>MIN((G63*I78+F63*(B51+I62-I59))/D63+I62,(G63*I80)/D63+I62)</f>
        <v>363970703.52842379</v>
      </c>
      <c r="J63" s="60">
        <f>J62+G63*J78</f>
        <v>410646297.87972891</v>
      </c>
      <c r="K63" s="60">
        <f>MIN((G63*K78+F63*(B51+K62-K59))/D63+K62,(G63*K80)/D63+K62)</f>
        <v>420263887.90535647</v>
      </c>
      <c r="L63" s="4"/>
      <c r="M63" s="4"/>
      <c r="N63" s="4"/>
      <c r="O63" s="4"/>
      <c r="P63" s="4"/>
      <c r="Q63" s="4"/>
      <c r="R63" s="4"/>
      <c r="S63" s="52"/>
      <c r="T63" s="4"/>
      <c r="U63" s="4"/>
      <c r="V63" s="4"/>
      <c r="Y63" s="51"/>
      <c r="AE63" s="51"/>
    </row>
    <row r="64" spans="1:31">
      <c r="A64" s="4"/>
      <c r="B64" s="58"/>
      <c r="C64" s="61">
        <v>17</v>
      </c>
      <c r="D64" s="62">
        <f>0.3+B52</f>
        <v>0.32</v>
      </c>
      <c r="E64" s="62">
        <f t="shared" ref="E64:E65" si="13">(1-D64)*0.97</f>
        <v>0.65959999999999996</v>
      </c>
      <c r="F64" s="62">
        <f t="shared" si="12"/>
        <v>2.0399999999999974E-2</v>
      </c>
      <c r="G64" s="63">
        <f>ROUND(1000+B47^3*(C64^2.7)/200,-2)</f>
        <v>35437900</v>
      </c>
      <c r="H64" s="64">
        <f>MIN((G64*H78+E64*(H63-H62)+F64*(B51+H63-H59))/D64+H63,(G64*H80+(E64+F64)*(H63-H62))/D64+H63)</f>
        <v>892803189.95708513</v>
      </c>
      <c r="I64" s="64">
        <f>MIN((G64*I78+E64*(I63-I62)+F64*(B51+I63-I59))/D64+I63,(G64*I80+(E64+F64)*(I63-I62))/D64+I63)</f>
        <v>624962232.96995938</v>
      </c>
      <c r="J64" s="64">
        <f>MIN((G64*J78+E64*(J63-J62)+F64*(B51+J63-J59))/D64+J63,(G64*J80+(E64+F64)*(J63-J62))/D64+J63)</f>
        <v>602128500.07927847</v>
      </c>
      <c r="K64" s="64">
        <f>MIN((G64*K78+E64*(K63-K62)+F64*(B51+K63-K59))/D64+K63,(G64*K80+(E64+F64)*(K63-K62))/D64+K63)</f>
        <v>780349340.52495742</v>
      </c>
      <c r="L64" s="4"/>
      <c r="M64" s="4"/>
      <c r="N64" s="4"/>
      <c r="O64" s="4"/>
      <c r="P64" s="4"/>
      <c r="Q64" s="4"/>
      <c r="R64" s="4"/>
      <c r="S64" s="52"/>
      <c r="T64" s="4"/>
      <c r="U64" s="4"/>
      <c r="V64" s="4"/>
      <c r="Y64" s="51"/>
      <c r="AE64" s="51"/>
    </row>
    <row r="65" spans="1:31">
      <c r="A65" s="4"/>
      <c r="B65" s="4"/>
      <c r="C65" s="55">
        <v>18</v>
      </c>
      <c r="D65" s="56">
        <f>0.3+B52</f>
        <v>0.32</v>
      </c>
      <c r="E65" s="56">
        <f t="shared" si="13"/>
        <v>0.65959999999999996</v>
      </c>
      <c r="F65" s="56">
        <f t="shared" si="12"/>
        <v>2.0399999999999974E-2</v>
      </c>
      <c r="G65" s="57">
        <f>ROUND(1000+B47^3*(C65^2.7)/200,-2)</f>
        <v>41351400</v>
      </c>
      <c r="H65" s="60">
        <f>MIN((G65*H79+E65*G64*H78+E65*E64*(G63*H78+H64-H63)+F65*(B51+H64-H59)+E65*F64*(B51+H64-H59))/D65+H64,(G65*H79+E65*G64*H80+E65*(E64+F64)*(G63*H78+H64-H63)+F65*(B51+H64-H59))/D65+H64)</f>
        <v>1729037050.9070587</v>
      </c>
      <c r="I65" s="60">
        <f>MIN((G65*I79+E65*G64*I78+E65*E64*(G63*I78+I64-I63)+F65*(B51+I64-I59)+E65*F64*(B51+I64-I59))/D65+I64,(G65*I79+E65*G64*I80+E65*(E64+F64)*(G63*I78+I64-I63)+F65*(B51+I64-I59))/D65+I64)</f>
        <v>1210325935.6349406</v>
      </c>
      <c r="J65" s="60">
        <f>MIN((G65*J79+E65*G64*J78+E65*E64*(G63*J78+J64-J63)+F65*(B51+J64-J59)+E65*F64*(B51+J64-J59))/D65+J64,(G65*J79+E65*G64*J80+E65*(E64+F64)*(G63*J78+J64-J63)+F65*(B51+J64-J59))/D65+J64)</f>
        <v>1162155648.8078706</v>
      </c>
      <c r="K65" s="60">
        <f>MIN((G65*K79+E65*G64*K78+E65*E64*(G63*K78+K64-K63)+F65*(B51+K64-K59)+E65*F64*(B51+K64-K59))/D65+K64,(G65*K79+E65*G64*K80+E65*(E64+F64)*(G63*K78+K64-K63)+F65*(B51+K64-K59))/D65+K64)</f>
        <v>1590677051.8084655</v>
      </c>
      <c r="L65" s="4"/>
      <c r="M65" s="4"/>
      <c r="N65" s="4"/>
      <c r="O65" s="4"/>
      <c r="P65" s="4"/>
      <c r="Q65" s="4"/>
      <c r="R65" s="4"/>
      <c r="S65" s="52"/>
      <c r="T65" s="4"/>
      <c r="U65" s="4"/>
      <c r="V65" s="4"/>
      <c r="Y65" s="51"/>
      <c r="AE65" s="51"/>
    </row>
    <row r="66" spans="1:31">
      <c r="A66" s="4"/>
      <c r="B66" s="4"/>
      <c r="C66" s="55">
        <v>19</v>
      </c>
      <c r="D66" s="56">
        <f>0.3+B52</f>
        <v>0.32</v>
      </c>
      <c r="E66" s="56">
        <f>(1-D66)*0.96</f>
        <v>0.65279999999999994</v>
      </c>
      <c r="F66" s="56">
        <f t="shared" si="12"/>
        <v>2.7200000000000002E-2</v>
      </c>
      <c r="G66" s="57">
        <f>ROUND(1000+B47^3*(C66^2.7)/200,-2)</f>
        <v>47850600</v>
      </c>
      <c r="H66" s="60">
        <f>(G66*H79+E66*G65*H79+E66*E65*(G64*H78+H65-H64)+F66*(B51+H65-H59)+E66*F65*(B51+H65-H59))/D66+H65</f>
        <v>3347461265.5193233</v>
      </c>
      <c r="I66" s="60">
        <f>(G66*I79+E66*G65*I79+E66*E65*(G64*I78+I65-I64)+F66*(B51+I65-I59)+E66*F65*(B51+I65-I59))/D66+I65</f>
        <v>2343222885.8635254</v>
      </c>
      <c r="J66" s="60">
        <f>(G66*J79+E66*G65*J79+E66*E65*(G64*J78+J65-J64)+F66*(B51+J65-J59)+E66*F65*(B51+J65-J59))/D66+J65</f>
        <v>2338493654.3146038</v>
      </c>
      <c r="K66" s="60">
        <f>(G66*K79+E66*G65*K79+E66*E65*(G64*K78+K65-K64)+F66*(B51+K65-K59)+E66*F65*(B51+K65-K59))/D66+K65</f>
        <v>3160720164.1988873</v>
      </c>
      <c r="L66" s="4"/>
      <c r="M66" s="4"/>
      <c r="N66" s="4"/>
      <c r="O66" s="4"/>
      <c r="P66" s="4"/>
      <c r="Q66" s="4"/>
      <c r="R66" s="4"/>
      <c r="S66" s="52"/>
      <c r="T66" s="4"/>
      <c r="U66" s="4"/>
      <c r="V66" s="4"/>
      <c r="Y66" s="51"/>
      <c r="AE66" s="51"/>
    </row>
    <row r="67" spans="1:31">
      <c r="A67" s="4"/>
      <c r="B67" s="4"/>
      <c r="C67" s="55">
        <v>20</v>
      </c>
      <c r="D67" s="56">
        <f>0.3+B52</f>
        <v>0.32</v>
      </c>
      <c r="E67" s="56">
        <f>(1-D67)*0.96</f>
        <v>0.65279999999999994</v>
      </c>
      <c r="F67" s="56">
        <f t="shared" si="12"/>
        <v>2.7200000000000002E-2</v>
      </c>
      <c r="G67" s="57">
        <f>ROUND(1000+B47^3*(C67^2.7)/200,-2)</f>
        <v>54958200</v>
      </c>
      <c r="H67" s="60">
        <f>(G67*H79+E67*G66*H79+E67*E66*(G65*H79+H66-H65)+F67*(B51+H66-H59)+E67*F66*(B51+H66-H59))/D67+H66</f>
        <v>6290932812.1646976</v>
      </c>
      <c r="I67" s="60">
        <f>(G67*I79+E67*G66*I79+E67*E66*(G65*I79+I66-I65)+F67*(B51+I66-I59)+E67*F66*(B51+I66-I59))/D67+I66</f>
        <v>4403652968.5152874</v>
      </c>
      <c r="J67" s="60">
        <f>(G67*J79+E67*G66*J79+E67*E66*(G65*J79+J66-J65)+F67*(B51+J66-J59)+E67*F66*(B51+J66-J59))/D67+J66</f>
        <v>4552983066.116087</v>
      </c>
      <c r="K67" s="60">
        <f>(G67*K79+E67*G66*K79+E67*E66*(G65*K79+K66-K65)+F67*(B51+K66-K59)+E67*F66*(B51+K66-K59))/D67+K66</f>
        <v>6017961363.2315683</v>
      </c>
      <c r="L67" s="4"/>
      <c r="M67" s="4"/>
      <c r="N67" s="4"/>
      <c r="O67" s="4"/>
      <c r="P67" s="4"/>
      <c r="Q67" s="4"/>
      <c r="R67" s="4"/>
      <c r="S67" s="52"/>
      <c r="T67" s="4"/>
      <c r="U67" s="4"/>
      <c r="V67" s="4"/>
      <c r="Y67" s="51"/>
      <c r="AE67" s="51"/>
    </row>
    <row r="68" spans="1:31">
      <c r="A68" s="4"/>
      <c r="B68" s="4"/>
      <c r="C68" s="55">
        <v>21</v>
      </c>
      <c r="D68" s="56">
        <f>0.3+B52</f>
        <v>0.32</v>
      </c>
      <c r="E68" s="56">
        <f>(1-D68)*0.9</f>
        <v>0.61199999999999999</v>
      </c>
      <c r="F68" s="56">
        <f t="shared" si="12"/>
        <v>6.7999999999999949E-2</v>
      </c>
      <c r="G68" s="57">
        <f>ROUND(1000+B47^3*(C68^2.7)/200,-2)</f>
        <v>62696400</v>
      </c>
      <c r="H68" s="60">
        <f>(G68*H79+F68*(B51+H67-H59))/D68+H67</f>
        <v>7813836426.3405838</v>
      </c>
      <c r="I68" s="60">
        <f>(G68*I79+F68*(B51+I67-I59))/D68+I67</f>
        <v>5469685498.4384079</v>
      </c>
      <c r="J68" s="60">
        <f>(G68*J79+F68*(B51+J67-J59))/D68+J67</f>
        <v>5708837026.2148113</v>
      </c>
      <c r="K68" s="60">
        <f>(G68*K79+F68*(B51+K67-K59))/D68+K67</f>
        <v>7489565693.9399281</v>
      </c>
      <c r="L68" s="4"/>
      <c r="M68" s="4"/>
      <c r="N68" s="4"/>
      <c r="O68" s="4"/>
      <c r="P68" s="4"/>
      <c r="Q68" s="4"/>
      <c r="R68" s="4"/>
      <c r="S68" s="52"/>
      <c r="T68" s="4"/>
      <c r="U68" s="4"/>
      <c r="V68" s="4"/>
      <c r="Y68" s="51"/>
      <c r="AE68" s="51"/>
    </row>
    <row r="69" spans="1:31">
      <c r="A69" s="4"/>
      <c r="B69" s="4"/>
      <c r="C69" s="61">
        <v>22</v>
      </c>
      <c r="D69" s="62">
        <f>0.3+B52</f>
        <v>0.32</v>
      </c>
      <c r="E69" s="62">
        <f>(1-D69)*0.9</f>
        <v>0.61199999999999999</v>
      </c>
      <c r="F69" s="62">
        <f t="shared" si="12"/>
        <v>6.7999999999999949E-2</v>
      </c>
      <c r="G69" s="63">
        <f>ROUND(1000+B47^3*(C69^2.7)/200,-2)</f>
        <v>71087200</v>
      </c>
      <c r="H69" s="64">
        <f>(G69*H79+E69*(H68-H67)+F69*(B51+H68-H59))/D69+H68</f>
        <v>12599131470.640228</v>
      </c>
      <c r="I69" s="64">
        <f>(G69*I79+E69*(I68-I67)+F69*(B51+I68-I59))/D69+I68</f>
        <v>8819392029.4481583</v>
      </c>
      <c r="J69" s="64">
        <f>(G69*J79+E69*(J68-J67)+F69*(B51+J68-J59))/D69+J68</f>
        <v>9347101901.5233231</v>
      </c>
      <c r="K69" s="64">
        <f>(G69*K79+E69*(K68-K67)+F69*(B51+K68-K59))/D69+K68</f>
        <v>12114550477.403553</v>
      </c>
      <c r="L69" s="4"/>
      <c r="M69" s="4"/>
      <c r="N69" s="4"/>
      <c r="O69" s="4"/>
      <c r="P69" s="4"/>
      <c r="Q69" s="4"/>
      <c r="R69" s="4"/>
      <c r="S69" s="52"/>
      <c r="T69" s="4"/>
      <c r="U69" s="4"/>
      <c r="V69" s="4"/>
      <c r="Y69" s="51"/>
      <c r="AE69" s="51"/>
    </row>
    <row r="70" spans="1:31">
      <c r="A70" s="4"/>
      <c r="B70" s="4"/>
      <c r="C70" s="55">
        <v>23</v>
      </c>
      <c r="D70" s="56">
        <f>0.03+B52</f>
        <v>0.05</v>
      </c>
      <c r="E70" s="56">
        <f>(1-D70)*0.8</f>
        <v>0.76</v>
      </c>
      <c r="F70" s="56">
        <f t="shared" si="12"/>
        <v>0.18999999999999995</v>
      </c>
      <c r="G70" s="57">
        <f>ROUND(1000+B47^3*(C70^2.7)/200,-2)</f>
        <v>80152000</v>
      </c>
      <c r="H70" s="60">
        <f>(G70*H79+E70*G69*H79+E70*E69*(G68*H79+H69-H68)+F70*(B51+H69-H59)+E70*F69*(B51+H69-H59))/D70+H69</f>
        <v>121055857028.19733</v>
      </c>
      <c r="I70" s="60">
        <f>(G70*I79+E70*G69*I79+E70*E69*(G68*I79+I69-I68)+F70*(B51+I69-I59)+E70*F69*(B51+I69-I59))/D70+I69</f>
        <v>84739099919.738129</v>
      </c>
      <c r="J70" s="60">
        <f>(G70*J79+E70*G69*J79+E70*E69*(G68*J79+J69-J68)+F70*(B51+J69-J59)+E70*F69*(B51+J69-J59))/D70+J69</f>
        <v>91466196803.698547</v>
      </c>
      <c r="K70" s="60">
        <f>(G70*K79+E70*G69*K79+E70*E69*(G68*K79+K69-K68)+F70*(B51+K69-K59)+E70*F69*(B51+K69-K59))/D70+K69</f>
        <v>116890298363.83223</v>
      </c>
      <c r="L70" s="4"/>
      <c r="M70" s="4"/>
      <c r="N70" s="4"/>
      <c r="O70" s="4"/>
      <c r="P70" s="4"/>
      <c r="Q70" s="4"/>
      <c r="R70" s="4"/>
      <c r="S70" s="52"/>
      <c r="T70" s="4"/>
      <c r="U70" s="4"/>
      <c r="V70" s="4"/>
      <c r="Y70" s="51"/>
      <c r="AE70" s="51"/>
    </row>
    <row r="71" spans="1:31">
      <c r="A71" s="4"/>
      <c r="B71" s="4"/>
      <c r="C71" s="55">
        <v>24</v>
      </c>
      <c r="D71" s="56">
        <f>0.02+B52</f>
        <v>0.04</v>
      </c>
      <c r="E71" s="56">
        <f>(1-D71)*0.7</f>
        <v>0.67199999999999993</v>
      </c>
      <c r="F71" s="56">
        <f t="shared" si="12"/>
        <v>0.28800000000000003</v>
      </c>
      <c r="G71" s="57">
        <f>ROUND(1000+B47^3*(C71^2.7)/200,-2)</f>
        <v>89912300</v>
      </c>
      <c r="H71" s="60">
        <f>(G71*H79+E71*G70*H79+E71*E70*(G69*H79+H70-H69)+F71*(B51+H70-H59)+E71*F70*(B51+H70-H59))/D71+H70</f>
        <v>2767864300427.4185</v>
      </c>
      <c r="I71" s="60">
        <f>(G71*I79+E71*G70*I79+E71*E70*(G69*I79+I70-I69)+F71*(B51+I70-I59)+E71*F70*(B51+I70-I59))/D71+I70</f>
        <v>1937505010299.1931</v>
      </c>
      <c r="J71" s="60">
        <f>(G71*J79+E71*G70*J79+E71*E70*(G69*J79+J70-J69)+F71*(B51+J70-J59)+E71*F70*(B51+J70-J59))/D71+J70</f>
        <v>2094610773149.2097</v>
      </c>
      <c r="K71" s="60">
        <f>(G71*K79+E71*G70*K79+E71*E70*(G69*K79+K70-K69)+F71*(B51+K70-K59)+E71*F70*(B51+K70-K59))/D71+K70</f>
        <v>2673739536497.46</v>
      </c>
      <c r="L71" s="4"/>
      <c r="M71" s="4"/>
      <c r="N71" s="4"/>
      <c r="O71" s="4"/>
      <c r="P71" s="4"/>
      <c r="Q71" s="4"/>
      <c r="R71" s="4"/>
      <c r="S71" s="52"/>
      <c r="T71" s="4"/>
      <c r="U71" s="4"/>
      <c r="V71" s="4"/>
      <c r="Y71" s="51"/>
      <c r="AE71" s="51"/>
    </row>
    <row r="72" spans="1:31">
      <c r="A72" s="4"/>
      <c r="B72" s="4"/>
      <c r="C72" s="55">
        <v>25</v>
      </c>
      <c r="D72" s="56">
        <f>0.01+B52</f>
        <v>0.03</v>
      </c>
      <c r="E72" s="56">
        <f>(1-D72)*0.6</f>
        <v>0.58199999999999996</v>
      </c>
      <c r="F72" s="56">
        <f t="shared" si="12"/>
        <v>0.38800000000000001</v>
      </c>
      <c r="G72" s="57">
        <f>ROUND(1000+B47^3*(C72^2.7)/200,-2)</f>
        <v>100389000</v>
      </c>
      <c r="H72" s="60">
        <f>(G72*H79+E72*G71*H79+E72*E71*(G70*H79+H71-H70)+F72*(B51+H71-H59)+E72*F71*(B51+H71-H59))/D72+H71</f>
        <v>88541377057527.406</v>
      </c>
      <c r="I72" s="60">
        <f>(G72*I79+E72*G71*I79+E72*E71*(G70*I79+I71-I70)+F72*(B51+I71-I59)+E72*F71*(B51+I71-I59))/D72+I71</f>
        <v>61978963940269.195</v>
      </c>
      <c r="J72" s="60">
        <f>(G72*J79+E72*G71*J79+E72*E71*(G70*J79+J71-J70)+F72*(B51+J71-J59)+E72*F71*(B51+J71-J59))/D72+J71</f>
        <v>67007989412573.141</v>
      </c>
      <c r="K72" s="60">
        <f>(G72*K79+E72*G71*K79+E72*E71*(G70*K79+K71-K70)+F72*(B51+K71-K59)+E72*F71*(B51+K71-K59))/D72+K71</f>
        <v>85531815863167.437</v>
      </c>
      <c r="L72" s="4"/>
      <c r="M72" s="4"/>
      <c r="N72" s="4"/>
      <c r="O72" s="4"/>
      <c r="P72" s="4"/>
      <c r="Q72" s="4"/>
      <c r="R72" s="4"/>
      <c r="S72" s="52"/>
      <c r="T72" s="4"/>
      <c r="U72" s="4"/>
      <c r="V72" s="4"/>
      <c r="Y72" s="51"/>
      <c r="AE72" s="51"/>
    </row>
    <row r="73" spans="1:31">
      <c r="A73" s="4"/>
      <c r="B73" s="4"/>
      <c r="C73" s="4"/>
      <c r="D73" s="58"/>
      <c r="E73" s="4"/>
      <c r="F73" s="4"/>
      <c r="G73" s="4">
        <v>13</v>
      </c>
      <c r="H73" s="65" t="str">
        <f>IF(H60=(G60*H78+E60*G59*H78+E60*E59*(G58*H78+H59-H58)+F60*(B51+H59-H59))/D60+H59,"파괴방지X","파괴방지O")</f>
        <v>파괴방지X</v>
      </c>
      <c r="I73" s="4" t="str">
        <f>IF((G60*I78+E60*G59*I78+E60*E59*(G58*I78+I59-I58)+F60*(B51+I59-I59))/D60+I59=I60,"파괴방지X","파괴방지O")</f>
        <v>파괴방지X</v>
      </c>
      <c r="J73" s="4" t="str">
        <f>IF((G60*J78+E60*G59*J78+E60*E59*(G58*J78+J59-J58)+F60*(B51+J59-J59))/D60+J59=J60,"파괴방지X","파괴방지O")</f>
        <v>파괴방지X</v>
      </c>
      <c r="K73" s="4" t="str">
        <f>IF((G60*K78+E60*G59*K78+E60*E59*(G58*K78)+F60*(B51+K59-K59))/D60+K59=K60,"파괴방지X","파괴방지O")</f>
        <v>파괴방지X</v>
      </c>
      <c r="L73" s="4"/>
      <c r="M73" s="4"/>
      <c r="N73" s="4"/>
      <c r="O73" s="4"/>
      <c r="P73" s="4"/>
      <c r="Q73" s="4"/>
      <c r="R73" s="4"/>
      <c r="S73" s="52"/>
      <c r="T73" s="4"/>
      <c r="U73" s="4"/>
      <c r="V73" s="4"/>
      <c r="Y73" s="51"/>
      <c r="AE73" s="51"/>
    </row>
    <row r="74" spans="1:31">
      <c r="A74" s="4"/>
      <c r="B74" s="4"/>
      <c r="C74" s="4"/>
      <c r="D74" s="58"/>
      <c r="E74" s="4"/>
      <c r="F74" s="4"/>
      <c r="G74" s="4">
        <v>14</v>
      </c>
      <c r="H74" s="65" t="str">
        <f>IF((G61*H78+E61*G60*H78+E61*E60*(G59*H78+H60-H59)+F61*(B51+H60-H59)+E61*F60*(B51+H60-H59))/D61+H60=H61,"파괴방지X","파괴방지O")</f>
        <v>파괴방지X</v>
      </c>
      <c r="I74" s="4" t="str">
        <f>IF((G61*I78+E61*G60*I78+E61*E60*(G59*I78+I60-I59)+F61*(B51+I60-I59)+E61*F60*(B51+I60-I59))/D61+I60=I61,"파괴방지X","파괴방지O")</f>
        <v>파괴방지X</v>
      </c>
      <c r="J74" s="4" t="str">
        <f>IF((G61*J78+E61*G60*J78+E61*E60*(G59*J78+J60-J59)+F61*(B51+J60-J59)+E61*F60*(B51+J60-J59))/D61+J60=J61,"파괴방지X","파괴방지O")</f>
        <v>파괴방지X</v>
      </c>
      <c r="K74" s="4" t="str">
        <f>IF((G61*K78+E61*G60*K78+E61*E60*(G59*K78+K60-K59)+F61*(B51+K60-K59)+E61*F60*(B51+K60-K59))/D61+K60=K61,"파괴방지X","파괴방지O")</f>
        <v>파괴방지X</v>
      </c>
      <c r="L74" s="4"/>
      <c r="M74" s="4"/>
      <c r="N74" s="4"/>
      <c r="O74" s="4"/>
      <c r="P74" s="4"/>
      <c r="Q74" s="4"/>
      <c r="R74" s="4"/>
      <c r="S74" s="52"/>
      <c r="T74" s="4"/>
      <c r="U74" s="4"/>
      <c r="V74" s="4"/>
      <c r="Y74" s="51"/>
      <c r="AE74" s="51"/>
    </row>
    <row r="75" spans="1:31">
      <c r="A75" s="4"/>
      <c r="B75" s="4"/>
      <c r="C75" s="4"/>
      <c r="D75" s="58"/>
      <c r="E75" s="4"/>
      <c r="F75" s="4"/>
      <c r="G75" s="4">
        <v>15</v>
      </c>
      <c r="H75" s="65" t="str">
        <f>IF((G62*H78+E62*G61*H78+E62*E61*(G60*H78+H61-H60)+F62*(B51+H61-H59)+E62*F61*(B51+H61-H59))/D62+H61=H62,"파괴방지X","파괴방지O")</f>
        <v>파괴방지X</v>
      </c>
      <c r="I75" s="4" t="str">
        <f>IF((G62*I78+E62*G61*I78+E62*E61*(G60*I78+I61-I60)+F62*(B51+I61-I59)+E62*F61*(B51+I61-I59))/D62+I61=I62,"파괴방지X","파괴방지O")</f>
        <v>파괴방지X</v>
      </c>
      <c r="J75" s="4" t="str">
        <f>IF((G62*J78+E62*G61*J78+E62*E61*(G60*J78+J61-J60)+F62*(B51+J61-J59)+E62*F61*(B51+J61-J59))/D62+J61=J62,"파괴방지X","파괴방지O")</f>
        <v>파괴방지X</v>
      </c>
      <c r="K75" s="4" t="str">
        <f>IF((G62*K78+E62*G61*K78+E62*E61*(G60*K78+K61-K60)+F62*(B51+K61-K59)+E62*F61*(B51+K61-K59))/D62+K61=K62,"파괴방지X","파괴방지O")</f>
        <v>파괴방지X</v>
      </c>
      <c r="L75" s="4"/>
      <c r="M75" s="4"/>
      <c r="N75" s="4"/>
      <c r="O75" s="4"/>
      <c r="P75" s="4"/>
      <c r="Q75" s="4"/>
      <c r="R75" s="4"/>
      <c r="S75" s="52"/>
      <c r="T75" s="4"/>
      <c r="U75" s="4"/>
      <c r="V75" s="4"/>
      <c r="Y75" s="51"/>
      <c r="AE75" s="51"/>
    </row>
    <row r="76" spans="1:31">
      <c r="A76" s="4"/>
      <c r="B76" s="4"/>
      <c r="C76" s="4"/>
      <c r="D76" s="58"/>
      <c r="E76" s="4"/>
      <c r="F76" s="4"/>
      <c r="G76" s="4">
        <v>16</v>
      </c>
      <c r="H76" s="65" t="str">
        <f>IF((G63*H78+F63*(B51+H62-H59))/D63+H62=H63,"파괴방지X","파괴방지O")</f>
        <v>파괴방지X</v>
      </c>
      <c r="I76" s="4" t="str">
        <f>IF((G63*I78+F63*(B51+I62-I59))/D63+I62=I63,"파괴방지X","파괴방지O")</f>
        <v>파괴방지X</v>
      </c>
      <c r="J76" s="4" t="s">
        <v>57</v>
      </c>
      <c r="K76" s="4" t="str">
        <f>IF((G63*K78+F63*(B51+K62-K59))/D63+K62=K63,"파괴방지X","파괴방지O")</f>
        <v>파괴방지X</v>
      </c>
      <c r="L76" s="4"/>
      <c r="M76" s="4"/>
      <c r="N76" s="4"/>
      <c r="O76" s="4"/>
      <c r="P76" s="4"/>
      <c r="Q76" s="4"/>
      <c r="R76" s="4"/>
      <c r="S76" s="52"/>
      <c r="T76" s="4"/>
      <c r="U76" s="4"/>
      <c r="V76" s="4"/>
      <c r="Y76" s="51"/>
      <c r="AE76" s="51"/>
    </row>
    <row r="77" spans="1:31">
      <c r="A77" s="4"/>
      <c r="B77" s="4"/>
      <c r="C77" s="4"/>
      <c r="D77" s="58"/>
      <c r="E77" s="4"/>
      <c r="F77" s="4"/>
      <c r="G77" s="4">
        <v>17</v>
      </c>
      <c r="H77" s="4" t="str">
        <f>IF((G64*H78+E64*(H63-H62)+F64*(B51+H63-H59))/D64+H63=H64,"파괴방지X","파괴방지O")</f>
        <v>파괴방지X</v>
      </c>
      <c r="I77" s="4" t="str">
        <f>IF((G64*I78+E64*(I63-I62)+F64*(B51+I63-I59))/D64+I63=I64,"파괴방지X","파괴방지O")</f>
        <v>파괴방지X</v>
      </c>
      <c r="J77" s="4" t="str">
        <f>IF((G64*J78+E64*(J63-J62)+F64*(B51+J63-J59))/D64+J63=J64,"파괴방지X","파괴방지O")</f>
        <v>파괴방지X</v>
      </c>
      <c r="K77" s="4" t="str">
        <f>IF((G64*K78+E64*(K63-K62)+F64*(B51+K63-K59))/D64+K63=K64,"파괴방지X","파괴방지O")</f>
        <v>파괴방지X</v>
      </c>
      <c r="L77" s="4"/>
      <c r="M77" s="4"/>
      <c r="N77" s="4"/>
      <c r="O77" s="4"/>
      <c r="P77" s="4"/>
      <c r="Q77" s="4"/>
      <c r="R77" s="4"/>
      <c r="S77" s="52"/>
      <c r="T77" s="4"/>
      <c r="U77" s="4"/>
      <c r="V77" s="4"/>
      <c r="Y77" s="51"/>
      <c r="AE77" s="51"/>
    </row>
    <row r="78" spans="1:31">
      <c r="A78" s="4"/>
      <c r="B78" s="4"/>
      <c r="C78" s="4" t="s">
        <v>58</v>
      </c>
      <c r="D78" s="58"/>
      <c r="E78" s="4"/>
      <c r="F78" s="4" t="s">
        <v>59</v>
      </c>
      <c r="G78" s="4" t="s">
        <v>60</v>
      </c>
      <c r="H78" s="56">
        <f>(1-B48-B49)</f>
        <v>0.97</v>
      </c>
      <c r="I78" s="56">
        <f>(1-B48-B49)*0.7</f>
        <v>0.67899999999999994</v>
      </c>
      <c r="J78" s="56">
        <f>(1-B48-B49)</f>
        <v>0.97</v>
      </c>
      <c r="K78" s="56">
        <f>(1-B48-B49)</f>
        <v>0.97</v>
      </c>
      <c r="L78" s="4"/>
      <c r="M78" s="4"/>
      <c r="N78" s="4"/>
      <c r="O78" s="4"/>
      <c r="P78" s="4"/>
      <c r="Q78" s="4"/>
      <c r="R78" s="4"/>
      <c r="S78" s="52"/>
      <c r="T78" s="4"/>
      <c r="U78" s="4"/>
      <c r="V78" s="4"/>
      <c r="Y78" s="51"/>
      <c r="AE78" s="51"/>
    </row>
    <row r="79" spans="1:31">
      <c r="A79" s="4"/>
      <c r="B79" s="4"/>
      <c r="C79" s="4"/>
      <c r="D79" s="58"/>
      <c r="E79" s="4"/>
      <c r="F79" s="4"/>
      <c r="G79" s="4" t="s">
        <v>61</v>
      </c>
      <c r="H79" s="56">
        <v>1</v>
      </c>
      <c r="I79" s="56">
        <f>100%*0.7</f>
        <v>0.7</v>
      </c>
      <c r="J79" s="56">
        <v>1</v>
      </c>
      <c r="K79" s="56">
        <v>1</v>
      </c>
      <c r="L79" s="4"/>
      <c r="M79" s="4"/>
      <c r="N79" s="4"/>
      <c r="O79" s="4"/>
      <c r="P79" s="4"/>
      <c r="Q79" s="4"/>
      <c r="R79" s="4"/>
      <c r="S79" s="52"/>
      <c r="T79" s="4"/>
      <c r="U79" s="4"/>
      <c r="V79" s="4"/>
      <c r="Y79" s="51"/>
      <c r="AE79" s="51"/>
    </row>
    <row r="80" spans="1:31">
      <c r="A80" s="4"/>
      <c r="B80" s="4"/>
      <c r="C80" s="4"/>
      <c r="D80" s="58"/>
      <c r="E80" s="4"/>
      <c r="F80" s="4"/>
      <c r="G80" s="4" t="s">
        <v>62</v>
      </c>
      <c r="H80" s="56">
        <f>H78+1</f>
        <v>1.97</v>
      </c>
      <c r="I80" s="56">
        <f>I78+1</f>
        <v>1.6789999999999998</v>
      </c>
      <c r="J80" s="56">
        <f>J78+1</f>
        <v>1.97</v>
      </c>
      <c r="K80" s="56">
        <f>K78+1</f>
        <v>1.97</v>
      </c>
      <c r="L80" s="4"/>
      <c r="M80" s="4"/>
      <c r="N80" s="4"/>
      <c r="O80" s="4"/>
      <c r="P80" s="4"/>
      <c r="Q80" s="4"/>
      <c r="R80" s="4"/>
      <c r="S80" s="52"/>
      <c r="T80" s="4"/>
      <c r="U80" s="4"/>
      <c r="V80" s="4"/>
      <c r="Y80" s="51"/>
      <c r="AE80" s="51"/>
    </row>
    <row r="81" spans="1:31">
      <c r="A81" s="4"/>
      <c r="B81" s="4"/>
      <c r="C81" s="4"/>
      <c r="D81" s="58"/>
      <c r="E81" s="4"/>
      <c r="F81" s="4"/>
      <c r="G81" s="4"/>
      <c r="H81" s="54"/>
      <c r="I81" s="54"/>
      <c r="J81" s="4"/>
      <c r="K81" s="4"/>
      <c r="L81" s="4"/>
      <c r="M81" s="4"/>
      <c r="N81" s="4"/>
      <c r="O81" s="4"/>
      <c r="P81" s="4"/>
      <c r="Q81" s="4"/>
      <c r="R81" s="4"/>
      <c r="S81" s="52"/>
      <c r="T81" s="4"/>
      <c r="U81" s="4"/>
      <c r="V81" s="4"/>
      <c r="Y81" s="51"/>
      <c r="AE81" s="51"/>
    </row>
    <row r="82" spans="1:31">
      <c r="A82" s="4"/>
      <c r="B82" s="4" t="s">
        <v>63</v>
      </c>
      <c r="C82" s="4"/>
      <c r="D82" s="58"/>
      <c r="E82" s="4"/>
      <c r="F82" s="4"/>
      <c r="G82" s="4"/>
      <c r="H82" s="65"/>
      <c r="I82" s="4"/>
      <c r="J82" s="4"/>
      <c r="K82" s="4"/>
      <c r="L82" s="4"/>
      <c r="M82" s="4"/>
      <c r="N82" s="4"/>
      <c r="O82" s="4"/>
      <c r="P82" s="4"/>
      <c r="Q82" s="4"/>
      <c r="R82" s="4"/>
      <c r="S82" s="52"/>
      <c r="T82" s="4"/>
      <c r="U82" s="4"/>
      <c r="V82" s="4"/>
      <c r="Y82" s="51"/>
      <c r="AE82" s="51"/>
    </row>
    <row r="83" spans="1:31">
      <c r="A83" s="4"/>
      <c r="B83" s="4" t="s">
        <v>64</v>
      </c>
      <c r="C83" s="4"/>
      <c r="D83" s="58"/>
      <c r="E83" s="4"/>
      <c r="F83" s="4"/>
      <c r="G83" s="4"/>
      <c r="H83" s="65"/>
      <c r="I83" s="4"/>
      <c r="J83" s="4"/>
      <c r="K83" s="4"/>
      <c r="L83" s="4"/>
      <c r="M83" s="4"/>
      <c r="N83" s="4"/>
      <c r="O83" s="4"/>
      <c r="P83" s="4"/>
      <c r="Q83" s="4"/>
      <c r="R83" s="4"/>
      <c r="S83" s="52"/>
      <c r="T83" s="4"/>
      <c r="U83" s="4"/>
      <c r="V83" s="4"/>
      <c r="Y83" s="51"/>
      <c r="AE83" s="51"/>
    </row>
    <row r="84" spans="1:31">
      <c r="A84" s="4"/>
      <c r="B84" s="4"/>
      <c r="C84" s="4"/>
      <c r="D84" s="58"/>
      <c r="E84" s="4"/>
      <c r="F84" s="4"/>
      <c r="G84" s="4"/>
      <c r="H84" s="65"/>
      <c r="I84" s="4"/>
      <c r="J84" s="4"/>
      <c r="K84" s="4"/>
      <c r="L84" s="4"/>
      <c r="M84" s="4"/>
      <c r="N84" s="4"/>
      <c r="O84" s="4"/>
      <c r="P84" s="4"/>
      <c r="Q84" s="4"/>
      <c r="R84" s="4"/>
      <c r="S84" s="52"/>
      <c r="T84" s="4"/>
      <c r="U84" s="4"/>
      <c r="V84" s="4"/>
      <c r="Y84" s="51"/>
      <c r="AE84" s="51"/>
    </row>
    <row r="85" spans="1:31">
      <c r="A85" s="4"/>
      <c r="B85" s="54"/>
      <c r="C85" s="55"/>
      <c r="D85" s="56"/>
      <c r="E85" s="56"/>
      <c r="F85" s="56"/>
      <c r="G85" s="57"/>
      <c r="H85" s="60"/>
      <c r="I85" s="60"/>
      <c r="J85" s="60"/>
      <c r="K85" s="59"/>
      <c r="L85" s="4"/>
      <c r="M85" s="4"/>
      <c r="N85" s="4"/>
      <c r="O85" s="4"/>
      <c r="P85" s="4"/>
      <c r="Q85" s="4"/>
      <c r="R85" s="4"/>
      <c r="S85" s="52"/>
      <c r="T85" s="4"/>
      <c r="U85" s="4"/>
      <c r="V85" s="4"/>
      <c r="Y85" s="51"/>
      <c r="AE85" s="51"/>
    </row>
    <row r="86" spans="1:31">
      <c r="A86" s="4"/>
      <c r="B86" s="58"/>
      <c r="C86" s="55"/>
      <c r="D86" s="56"/>
      <c r="E86" s="56"/>
      <c r="F86" s="56"/>
      <c r="G86" s="57"/>
      <c r="H86" s="60"/>
      <c r="I86" s="60"/>
      <c r="J86" s="60"/>
      <c r="K86" s="59"/>
      <c r="L86" s="4"/>
      <c r="M86" s="4"/>
      <c r="N86" s="4"/>
      <c r="O86" s="4"/>
      <c r="P86" s="4"/>
      <c r="Q86" s="4"/>
      <c r="R86" s="4"/>
      <c r="S86" s="52"/>
      <c r="T86" s="4"/>
      <c r="U86" s="4"/>
      <c r="V86" s="4"/>
      <c r="Y86" s="51"/>
      <c r="AE86" s="51"/>
    </row>
    <row r="87" spans="1:31">
      <c r="A87" s="4"/>
      <c r="B87" s="56"/>
      <c r="C87" s="55"/>
      <c r="D87" s="56"/>
      <c r="E87" s="56"/>
      <c r="F87" s="56"/>
      <c r="G87" s="57"/>
      <c r="H87" s="60"/>
      <c r="I87" s="60"/>
      <c r="J87" s="60"/>
      <c r="K87" s="60"/>
      <c r="L87" s="4"/>
      <c r="M87" s="4"/>
      <c r="N87" s="4"/>
      <c r="O87" s="4"/>
      <c r="P87" s="4"/>
      <c r="Q87" s="4"/>
      <c r="R87" s="4"/>
      <c r="S87" s="52"/>
      <c r="T87" s="4"/>
      <c r="U87" s="4"/>
      <c r="V87" s="4"/>
      <c r="Y87" s="51"/>
      <c r="AE87" s="51"/>
    </row>
    <row r="88" spans="1:31">
      <c r="A88" s="4"/>
      <c r="B88" s="58"/>
      <c r="C88" s="61"/>
      <c r="D88" s="56"/>
      <c r="E88" s="62"/>
      <c r="F88" s="62"/>
      <c r="G88" s="63"/>
      <c r="H88" s="64"/>
      <c r="I88" s="64"/>
      <c r="J88" s="64"/>
      <c r="K88" s="64"/>
      <c r="L88" s="4"/>
      <c r="M88" s="4"/>
      <c r="N88" s="4"/>
      <c r="O88" s="4"/>
      <c r="P88" s="4"/>
      <c r="Q88" s="4"/>
      <c r="R88" s="4"/>
      <c r="S88" s="52"/>
      <c r="T88" s="4"/>
      <c r="U88" s="4"/>
      <c r="V88" s="4"/>
      <c r="Y88" s="51"/>
      <c r="AE88" s="51"/>
    </row>
    <row r="89" spans="1:31">
      <c r="A89" s="4"/>
      <c r="B89" s="4"/>
      <c r="C89" s="55"/>
      <c r="D89" s="56"/>
      <c r="E89" s="56"/>
      <c r="F89" s="56"/>
      <c r="G89" s="57"/>
      <c r="H89" s="60"/>
      <c r="I89" s="60"/>
      <c r="J89" s="60"/>
      <c r="K89" s="60"/>
      <c r="L89" s="4"/>
      <c r="M89" s="4"/>
      <c r="N89" s="4"/>
      <c r="O89" s="4"/>
      <c r="P89" s="4"/>
      <c r="Q89" s="4"/>
      <c r="R89" s="4"/>
      <c r="S89" s="52"/>
      <c r="T89" s="4"/>
      <c r="U89" s="4"/>
      <c r="V89" s="4"/>
      <c r="Y89" s="51"/>
      <c r="AE89" s="51"/>
    </row>
    <row r="90" spans="1:31">
      <c r="A90" s="4"/>
      <c r="B90" s="4"/>
      <c r="C90" s="55"/>
      <c r="D90" s="56"/>
      <c r="E90" s="56"/>
      <c r="F90" s="56"/>
      <c r="G90" s="57"/>
      <c r="H90" s="60"/>
      <c r="I90" s="60"/>
      <c r="J90" s="60"/>
      <c r="K90" s="60"/>
      <c r="L90" s="4"/>
      <c r="M90" s="4"/>
      <c r="N90" s="4"/>
      <c r="O90" s="4"/>
      <c r="P90" s="4"/>
      <c r="Q90" s="4"/>
      <c r="R90" s="4"/>
      <c r="S90" s="52"/>
      <c r="T90" s="4"/>
      <c r="U90" s="4"/>
      <c r="V90" s="4"/>
      <c r="Y90" s="51"/>
      <c r="AE90" s="51"/>
    </row>
    <row r="91" spans="1:31">
      <c r="A91" s="4"/>
      <c r="B91" s="4"/>
      <c r="C91" s="55"/>
      <c r="D91" s="56"/>
      <c r="E91" s="56"/>
      <c r="F91" s="56"/>
      <c r="G91" s="57"/>
      <c r="H91" s="60"/>
      <c r="I91" s="60"/>
      <c r="J91" s="60"/>
      <c r="K91" s="60"/>
      <c r="L91" s="4"/>
      <c r="M91" s="4"/>
      <c r="N91" s="4"/>
      <c r="O91" s="4"/>
      <c r="P91" s="4"/>
      <c r="Q91" s="4"/>
      <c r="R91" s="4"/>
      <c r="S91" s="52"/>
      <c r="T91" s="4"/>
      <c r="U91" s="4"/>
      <c r="V91" s="4"/>
      <c r="Y91" s="51"/>
      <c r="AE91" s="51"/>
    </row>
    <row r="92" spans="1:31">
      <c r="A92" s="4"/>
      <c r="B92" s="4"/>
      <c r="C92" s="55"/>
      <c r="D92" s="56"/>
      <c r="E92" s="56"/>
      <c r="F92" s="56"/>
      <c r="G92" s="57"/>
      <c r="H92" s="60"/>
      <c r="I92" s="60"/>
      <c r="J92" s="60"/>
      <c r="K92" s="60"/>
      <c r="L92" s="4"/>
      <c r="M92" s="4"/>
      <c r="N92" s="4"/>
      <c r="O92" s="4"/>
      <c r="P92" s="4"/>
      <c r="Q92" s="4"/>
      <c r="R92" s="4"/>
      <c r="S92" s="52"/>
      <c r="T92" s="4"/>
      <c r="U92" s="4"/>
      <c r="V92" s="4"/>
      <c r="Y92" s="51"/>
      <c r="AE92" s="51"/>
    </row>
    <row r="93" spans="1:31">
      <c r="A93" s="4"/>
      <c r="B93" s="4"/>
      <c r="C93" s="61"/>
      <c r="D93" s="56"/>
      <c r="E93" s="62"/>
      <c r="F93" s="62"/>
      <c r="G93" s="63"/>
      <c r="H93" s="64"/>
      <c r="I93" s="64"/>
      <c r="J93" s="64"/>
      <c r="K93" s="64"/>
      <c r="L93" s="4"/>
      <c r="M93" s="4"/>
      <c r="N93" s="4"/>
      <c r="O93" s="4"/>
      <c r="P93" s="4"/>
      <c r="Q93" s="4"/>
      <c r="R93" s="4"/>
      <c r="S93" s="52"/>
      <c r="T93" s="4"/>
      <c r="U93" s="4"/>
      <c r="V93" s="4"/>
      <c r="Y93" s="51"/>
      <c r="AE93" s="51"/>
    </row>
    <row r="94" spans="1:31">
      <c r="A94" s="4"/>
      <c r="B94" s="4"/>
      <c r="C94" s="55"/>
      <c r="D94" s="56"/>
      <c r="E94" s="56"/>
      <c r="F94" s="56"/>
      <c r="G94" s="57"/>
      <c r="H94" s="60"/>
      <c r="I94" s="60"/>
      <c r="J94" s="60"/>
      <c r="K94" s="60"/>
      <c r="L94" s="4"/>
      <c r="M94" s="4"/>
      <c r="N94" s="4"/>
      <c r="O94" s="4"/>
      <c r="P94" s="4"/>
      <c r="Q94" s="4"/>
      <c r="R94" s="4"/>
      <c r="S94" s="52"/>
      <c r="T94" s="4"/>
      <c r="U94" s="4"/>
      <c r="V94" s="4"/>
      <c r="Y94" s="51"/>
      <c r="AE94" s="51"/>
    </row>
    <row r="95" spans="1:31">
      <c r="A95" s="4"/>
      <c r="B95" s="4"/>
      <c r="C95" s="55"/>
      <c r="D95" s="56"/>
      <c r="E95" s="56"/>
      <c r="F95" s="56"/>
      <c r="G95" s="57"/>
      <c r="H95" s="60"/>
      <c r="I95" s="60"/>
      <c r="J95" s="60"/>
      <c r="K95" s="60"/>
      <c r="L95" s="4"/>
      <c r="M95" s="4"/>
      <c r="N95" s="4"/>
      <c r="O95" s="4"/>
      <c r="P95" s="4"/>
      <c r="Q95" s="4"/>
      <c r="R95" s="4"/>
      <c r="S95" s="52"/>
      <c r="T95" s="4"/>
      <c r="U95" s="4"/>
      <c r="V95" s="4"/>
      <c r="Y95" s="51"/>
      <c r="AE95" s="51"/>
    </row>
    <row r="96" spans="1:31">
      <c r="A96" s="4"/>
      <c r="B96" s="4"/>
      <c r="C96" s="55"/>
      <c r="D96" s="56"/>
      <c r="E96" s="56"/>
      <c r="F96" s="56"/>
      <c r="G96" s="57"/>
      <c r="H96" s="60"/>
      <c r="I96" s="60"/>
      <c r="J96" s="60"/>
      <c r="K96" s="60"/>
      <c r="L96" s="4"/>
      <c r="M96" s="4"/>
      <c r="N96" s="4"/>
      <c r="O96" s="4"/>
      <c r="P96" s="4"/>
      <c r="Q96" s="4"/>
      <c r="R96" s="4"/>
      <c r="S96" s="52"/>
      <c r="T96" s="4"/>
      <c r="U96" s="4"/>
      <c r="V96" s="4"/>
      <c r="Y96" s="51"/>
      <c r="AE96" s="51"/>
    </row>
    <row r="97" spans="1:31">
      <c r="A97" s="4"/>
      <c r="B97" s="4"/>
      <c r="C97" s="4"/>
      <c r="D97" s="58"/>
      <c r="E97" s="4"/>
      <c r="F97" s="4"/>
      <c r="G97" s="4"/>
      <c r="H97" s="65"/>
      <c r="I97" s="4"/>
      <c r="J97" s="4"/>
      <c r="K97" s="4"/>
      <c r="L97" s="4"/>
      <c r="M97" s="4"/>
      <c r="N97" s="4"/>
      <c r="O97" s="4"/>
      <c r="P97" s="4"/>
      <c r="Q97" s="4"/>
      <c r="R97" s="4"/>
      <c r="S97" s="52"/>
      <c r="T97" s="4"/>
      <c r="U97" s="4"/>
      <c r="V97" s="4"/>
      <c r="Y97" s="51"/>
      <c r="AE97" s="51"/>
    </row>
    <row r="98" spans="1:31">
      <c r="A98" s="4"/>
      <c r="B98" s="4"/>
      <c r="C98" s="4"/>
      <c r="D98" s="58"/>
      <c r="E98" s="4"/>
      <c r="F98" s="4"/>
      <c r="G98" s="4"/>
      <c r="H98" s="65"/>
      <c r="I98" s="4"/>
      <c r="J98" s="4"/>
      <c r="K98" s="4"/>
      <c r="L98" s="4"/>
      <c r="M98" s="4"/>
      <c r="N98" s="4"/>
      <c r="O98" s="4"/>
      <c r="P98" s="4"/>
      <c r="Q98" s="4"/>
      <c r="R98" s="4"/>
      <c r="S98" s="52"/>
      <c r="T98" s="4"/>
      <c r="U98" s="4"/>
      <c r="V98" s="4"/>
      <c r="Y98" s="51"/>
      <c r="AE98" s="51"/>
    </row>
    <row r="99" spans="1:31">
      <c r="A99" s="4"/>
      <c r="B99" s="4"/>
      <c r="C99" s="4"/>
      <c r="D99" s="58"/>
      <c r="E99" s="4"/>
      <c r="F99" s="4"/>
      <c r="G99" s="4"/>
      <c r="H99" s="65"/>
      <c r="I99" s="4"/>
      <c r="J99" s="4"/>
      <c r="K99" s="4"/>
      <c r="L99" s="4"/>
      <c r="M99" s="4"/>
      <c r="N99" s="4"/>
      <c r="O99" s="4"/>
      <c r="P99" s="4"/>
      <c r="Q99" s="4"/>
      <c r="R99" s="4"/>
      <c r="S99" s="52"/>
      <c r="T99" s="4"/>
      <c r="U99" s="4"/>
      <c r="V99" s="4"/>
      <c r="Y99" s="51"/>
      <c r="AE99" s="51"/>
    </row>
  </sheetData>
  <sheetProtection password="D437" sheet="1" objects="1" scenarios="1" selectLockedCells="1"/>
  <mergeCells count="4">
    <mergeCell ref="T2:X2"/>
    <mergeCell ref="Z2:AD2"/>
    <mergeCell ref="T14:X14"/>
    <mergeCell ref="AF2:AG12"/>
  </mergeCells>
  <phoneticPr fontId="3" type="noConversion"/>
  <conditionalFormatting sqref="AB10">
    <cfRule type="cellIs" dxfId="5" priority="5" operator="between">
      <formula>$C$15</formula>
      <formula>$C$14</formula>
    </cfRule>
  </conditionalFormatting>
  <conditionalFormatting sqref="AA4:AD12">
    <cfRule type="cellIs" dxfId="4" priority="3" operator="between">
      <formula>$C$14</formula>
      <formula>1000</formula>
    </cfRule>
    <cfRule type="cellIs" dxfId="3" priority="4" stopIfTrue="1" operator="between">
      <formula>0</formula>
      <formula>$C$15</formula>
    </cfRule>
    <cfRule type="cellIs" dxfId="2" priority="6" operator="between">
      <formula>$C$15</formula>
      <formula>$C$14</formula>
    </cfRule>
  </conditionalFormatting>
  <conditionalFormatting sqref="U16:X20">
    <cfRule type="cellIs" dxfId="1" priority="2" operator="equal">
      <formula>"""O"""</formula>
    </cfRule>
    <cfRule type="cellIs" dxfId="0" priority="1" operator="equal">
      <formula>"O"</formula>
    </cfRule>
  </conditionalFormatting>
  <dataValidations count="2">
    <dataValidation type="list" allowBlank="1" showInputMessage="1" showErrorMessage="1" sqref="C7">
      <formula1>"Y, N"</formula1>
    </dataValidation>
    <dataValidation type="list" allowBlank="1" showInputMessage="1" showErrorMessage="1" sqref="B54">
      <formula1>YesNo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 *</dc:creator>
  <cp:lastModifiedBy>pET *</cp:lastModifiedBy>
  <dcterms:created xsi:type="dcterms:W3CDTF">2019-01-07T14:51:57Z</dcterms:created>
  <dcterms:modified xsi:type="dcterms:W3CDTF">2019-01-07T15:23:00Z</dcterms:modified>
</cp:coreProperties>
</file>