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sera1\Desktop\"/>
    </mc:Choice>
  </mc:AlternateContent>
  <xr:revisionPtr revIDLastSave="0" documentId="13_ncr:1_{86804D44-51B7-42D4-80A3-7EF4ACE090CB}" xr6:coauthVersionLast="40" xr6:coauthVersionMax="40" xr10:uidLastSave="{00000000-0000-0000-0000-000000000000}"/>
  <bookViews>
    <workbookView xWindow="0" yWindow="0" windowWidth="21570" windowHeight="7875" firstSheet="1" activeTab="1" xr2:uid="{B1512AF1-99BC-4B9D-9F17-74C60EDE719C}"/>
  </bookViews>
  <sheets>
    <sheet name="Simulator" sheetId="7" state="hidden" r:id="rId1"/>
    <sheet name="Caculator" sheetId="2" r:id="rId2"/>
    <sheet name="Basic Data" sheetId="6" r:id="rId3"/>
    <sheet name="Master" sheetId="3" r:id="rId4"/>
    <sheet name="Sheet3" sheetId="5" state="hidden" r:id="rId5"/>
  </sheets>
  <definedNames>
    <definedName name="_xlnm._FilterDatabase" localSheetId="2" hidden="1">'Basic Data'!$B$1:$M$335</definedName>
    <definedName name="_xlnm._FilterDatabase" localSheetId="1" hidden="1">Caculator!$C$9:$Y$9</definedName>
    <definedName name="공격력">Caculator!$E$3</definedName>
    <definedName name="오의뎀증">Caculator!$K$3</definedName>
    <definedName name="치명">Caculator!$H$3</definedName>
    <definedName name="쿨감">Caculator!$M$3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2" l="1"/>
  <c r="K2" i="2"/>
  <c r="H2" i="2"/>
  <c r="E2" i="2"/>
  <c r="M3" i="2" l="1"/>
  <c r="M4" i="2"/>
  <c r="J28" i="2" l="1"/>
  <c r="J27" i="2"/>
  <c r="J26" i="2"/>
  <c r="J25" i="2"/>
  <c r="E3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H2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0" i="6"/>
  <c r="H42" i="6"/>
  <c r="H44" i="6"/>
  <c r="H46" i="6"/>
  <c r="H48" i="6"/>
  <c r="H50" i="6"/>
  <c r="H52" i="6"/>
  <c r="H54" i="6"/>
  <c r="H39" i="6"/>
  <c r="H41" i="6"/>
  <c r="H43" i="6"/>
  <c r="H45" i="6"/>
  <c r="H47" i="6"/>
  <c r="H49" i="6"/>
  <c r="H51" i="6"/>
  <c r="H53" i="6"/>
  <c r="H55" i="6"/>
  <c r="H59" i="6"/>
  <c r="H65" i="6"/>
  <c r="H71" i="6"/>
  <c r="H58" i="6"/>
  <c r="H64" i="6"/>
  <c r="H70" i="6"/>
  <c r="H57" i="6"/>
  <c r="H61" i="6"/>
  <c r="H63" i="6"/>
  <c r="H67" i="6"/>
  <c r="H69" i="6"/>
  <c r="H73" i="6"/>
  <c r="H56" i="6"/>
  <c r="H60" i="6"/>
  <c r="H62" i="6"/>
  <c r="H66" i="6"/>
  <c r="H68" i="6"/>
  <c r="H72" i="6"/>
  <c r="H75" i="6"/>
  <c r="H77" i="6"/>
  <c r="H79" i="6"/>
  <c r="H81" i="6"/>
  <c r="H83" i="6"/>
  <c r="H85" i="6"/>
  <c r="H87" i="6"/>
  <c r="H89" i="6"/>
  <c r="H91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93" i="6"/>
  <c r="H95" i="6"/>
  <c r="H97" i="6"/>
  <c r="H99" i="6"/>
  <c r="H101" i="6"/>
  <c r="H103" i="6"/>
  <c r="H105" i="6"/>
  <c r="H107" i="6"/>
  <c r="H109" i="6"/>
  <c r="H110" i="6"/>
  <c r="H112" i="6"/>
  <c r="H114" i="6"/>
  <c r="H116" i="6"/>
  <c r="H118" i="6"/>
  <c r="H120" i="6"/>
  <c r="H122" i="6"/>
  <c r="H124" i="6"/>
  <c r="H126" i="6"/>
  <c r="H111" i="6"/>
  <c r="H113" i="6"/>
  <c r="H115" i="6"/>
  <c r="H117" i="6"/>
  <c r="H119" i="6"/>
  <c r="H121" i="6"/>
  <c r="H123" i="6"/>
  <c r="H125" i="6"/>
  <c r="H127" i="6"/>
  <c r="H128" i="6"/>
  <c r="H129" i="6"/>
  <c r="H130" i="6"/>
  <c r="H131" i="6"/>
  <c r="H132" i="6"/>
  <c r="H133" i="6"/>
  <c r="H134" i="6"/>
  <c r="H135" i="6"/>
  <c r="H136" i="6"/>
  <c r="H137" i="6"/>
  <c r="H143" i="6"/>
  <c r="H149" i="6"/>
  <c r="H138" i="6"/>
  <c r="H144" i="6"/>
  <c r="H150" i="6"/>
  <c r="H139" i="6"/>
  <c r="H145" i="6"/>
  <c r="H151" i="6"/>
  <c r="H140" i="6"/>
  <c r="H141" i="6"/>
  <c r="H146" i="6"/>
  <c r="H147" i="6"/>
  <c r="H152" i="6"/>
  <c r="H153" i="6"/>
  <c r="H142" i="6"/>
  <c r="H148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4" i="6"/>
  <c r="H190" i="6"/>
  <c r="H196" i="6"/>
  <c r="H183" i="6"/>
  <c r="H185" i="6"/>
  <c r="H187" i="6"/>
  <c r="H189" i="6"/>
  <c r="H191" i="6"/>
  <c r="H193" i="6"/>
  <c r="H195" i="6"/>
  <c r="H197" i="6"/>
  <c r="H199" i="6"/>
  <c r="H182" i="6"/>
  <c r="H186" i="6"/>
  <c r="H188" i="6"/>
  <c r="H192" i="6"/>
  <c r="H194" i="6"/>
  <c r="H198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32" i="6"/>
  <c r="H234" i="6"/>
  <c r="H236" i="6"/>
  <c r="H220" i="6"/>
  <c r="H222" i="6"/>
  <c r="H224" i="6"/>
  <c r="H226" i="6"/>
  <c r="H228" i="6"/>
  <c r="H230" i="6"/>
  <c r="H231" i="6"/>
  <c r="H233" i="6"/>
  <c r="H235" i="6"/>
  <c r="H219" i="6"/>
  <c r="H221" i="6"/>
  <c r="H223" i="6"/>
  <c r="H225" i="6"/>
  <c r="H227" i="6"/>
  <c r="H229" i="6"/>
  <c r="H238" i="6"/>
  <c r="H240" i="6"/>
  <c r="H242" i="6"/>
  <c r="H244" i="6"/>
  <c r="H246" i="6"/>
  <c r="H248" i="6"/>
  <c r="H250" i="6"/>
  <c r="H252" i="6"/>
  <c r="H254" i="6"/>
  <c r="H237" i="6"/>
  <c r="H239" i="6"/>
  <c r="H241" i="6"/>
  <c r="H243" i="6"/>
  <c r="H245" i="6"/>
  <c r="H247" i="6"/>
  <c r="H249" i="6"/>
  <c r="H251" i="6"/>
  <c r="H253" i="6"/>
  <c r="H256" i="6"/>
  <c r="H258" i="6"/>
  <c r="H260" i="6"/>
  <c r="H262" i="6"/>
  <c r="H264" i="6"/>
  <c r="H266" i="6"/>
  <c r="H268" i="6"/>
  <c r="H270" i="6"/>
  <c r="H272" i="6"/>
  <c r="H255" i="6"/>
  <c r="H257" i="6"/>
  <c r="H259" i="6"/>
  <c r="H261" i="6"/>
  <c r="H263" i="6"/>
  <c r="H265" i="6"/>
  <c r="H267" i="6"/>
  <c r="H269" i="6"/>
  <c r="H271" i="6"/>
  <c r="H278" i="6"/>
  <c r="H284" i="6"/>
  <c r="H290" i="6"/>
  <c r="H274" i="6"/>
  <c r="H276" i="6"/>
  <c r="H280" i="6"/>
  <c r="H282" i="6"/>
  <c r="H286" i="6"/>
  <c r="H288" i="6"/>
  <c r="H277" i="6"/>
  <c r="H283" i="6"/>
  <c r="H289" i="6"/>
  <c r="H273" i="6"/>
  <c r="H275" i="6"/>
  <c r="H279" i="6"/>
  <c r="H281" i="6"/>
  <c r="H285" i="6"/>
  <c r="H287" i="6"/>
  <c r="H292" i="6"/>
  <c r="H294" i="6"/>
  <c r="H296" i="6"/>
  <c r="H298" i="6"/>
  <c r="H300" i="6"/>
  <c r="H302" i="6"/>
  <c r="H304" i="6"/>
  <c r="H306" i="6"/>
  <c r="H308" i="6"/>
  <c r="H291" i="6"/>
  <c r="H293" i="6"/>
  <c r="H295" i="6"/>
  <c r="H297" i="6"/>
  <c r="H299" i="6"/>
  <c r="H301" i="6"/>
  <c r="H303" i="6"/>
  <c r="H305" i="6"/>
  <c r="H307" i="6"/>
  <c r="H309" i="6"/>
  <c r="H310" i="6"/>
  <c r="H311" i="6"/>
  <c r="H312" i="6"/>
  <c r="H313" i="6"/>
  <c r="H314" i="6"/>
  <c r="H315" i="6"/>
  <c r="H316" i="6"/>
  <c r="H317" i="6"/>
  <c r="H318" i="6"/>
  <c r="H320" i="6"/>
  <c r="H322" i="6"/>
  <c r="H324" i="6"/>
  <c r="H326" i="6"/>
  <c r="H328" i="6"/>
  <c r="H330" i="6"/>
  <c r="H332" i="6"/>
  <c r="H334" i="6"/>
  <c r="H319" i="6"/>
  <c r="H321" i="6"/>
  <c r="H323" i="6"/>
  <c r="H325" i="6"/>
  <c r="H327" i="6"/>
  <c r="H329" i="6"/>
  <c r="H331" i="6"/>
  <c r="H333" i="6"/>
  <c r="H335" i="6"/>
  <c r="R17" i="3" l="1"/>
  <c r="R18" i="3"/>
  <c r="R19" i="3"/>
  <c r="R20" i="3"/>
  <c r="R16" i="3"/>
  <c r="S16" i="3" s="1"/>
  <c r="S17" i="3"/>
  <c r="S14" i="3"/>
  <c r="S15" i="3"/>
  <c r="R15" i="3"/>
  <c r="R14" i="3"/>
  <c r="S18" i="3"/>
  <c r="S19" i="3"/>
  <c r="S20" i="3"/>
  <c r="Y53" i="3" l="1"/>
  <c r="Z53" i="3"/>
  <c r="Y54" i="3"/>
  <c r="Z54" i="3"/>
  <c r="Z52" i="3"/>
  <c r="Y52" i="3"/>
  <c r="S51" i="3"/>
  <c r="R53" i="3"/>
  <c r="R54" i="3"/>
  <c r="S54" i="3" s="1"/>
  <c r="R52" i="3"/>
  <c r="S52" i="3" s="1"/>
  <c r="X53" i="3"/>
  <c r="X54" i="3"/>
  <c r="W54" i="3"/>
  <c r="W53" i="3"/>
  <c r="X52" i="3"/>
  <c r="S53" i="3"/>
  <c r="W31" i="3" l="1"/>
  <c r="W32" i="3"/>
  <c r="S33" i="3"/>
  <c r="T29" i="3"/>
  <c r="R31" i="3"/>
  <c r="R30" i="3"/>
  <c r="R29" i="3"/>
  <c r="R32" i="3"/>
  <c r="S32" i="3" s="1"/>
  <c r="V32" i="3"/>
  <c r="S31" i="3"/>
  <c r="S30" i="3"/>
  <c r="S29" i="3"/>
  <c r="H27" i="3"/>
  <c r="H26" i="3"/>
  <c r="G26" i="3" s="1"/>
  <c r="A179" i="5" l="1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I49" i="6" l="1"/>
  <c r="I47" i="6"/>
  <c r="I45" i="6"/>
  <c r="I52" i="6"/>
  <c r="I54" i="6"/>
  <c r="I50" i="6"/>
  <c r="I48" i="6"/>
  <c r="I46" i="6"/>
  <c r="I38" i="6"/>
  <c r="I40" i="6"/>
  <c r="I42" i="6"/>
  <c r="I44" i="6"/>
  <c r="K27" i="2" l="1"/>
  <c r="K24" i="2"/>
  <c r="J24" i="2" l="1"/>
  <c r="K26" i="2" l="1"/>
  <c r="K25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11" i="2"/>
  <c r="L25" i="2" l="1"/>
  <c r="H21" i="3" l="1"/>
  <c r="P25" i="3" l="1"/>
  <c r="E33" i="3"/>
  <c r="F33" i="3"/>
  <c r="H51" i="3"/>
  <c r="A121" i="5"/>
  <c r="A129" i="5"/>
  <c r="A128" i="5"/>
  <c r="A127" i="5"/>
  <c r="A126" i="5"/>
  <c r="A125" i="5"/>
  <c r="A124" i="5"/>
  <c r="A123" i="5"/>
  <c r="H43" i="3"/>
  <c r="G43" i="3" s="1"/>
  <c r="H42" i="3"/>
  <c r="G42" i="3" s="1"/>
  <c r="H41" i="3"/>
  <c r="G41" i="3" s="1"/>
  <c r="H40" i="3"/>
  <c r="G40" i="3" s="1"/>
  <c r="H39" i="3"/>
  <c r="G39" i="3" s="1"/>
  <c r="H38" i="3"/>
  <c r="G38" i="3" s="1"/>
  <c r="A217" i="6"/>
  <c r="A216" i="6"/>
  <c r="A215" i="6"/>
  <c r="A214" i="6"/>
  <c r="A213" i="6"/>
  <c r="A212" i="6"/>
  <c r="A211" i="6"/>
  <c r="A210" i="6"/>
  <c r="A209" i="6"/>
  <c r="L13" i="2" l="1"/>
  <c r="K4" i="2"/>
  <c r="G184" i="6"/>
  <c r="H3" i="2"/>
  <c r="H57" i="3"/>
  <c r="G57" i="3" s="1"/>
  <c r="H56" i="3"/>
  <c r="G56" i="3" s="1"/>
  <c r="A37" i="6"/>
  <c r="L18" i="2"/>
  <c r="L16" i="2"/>
  <c r="C10" i="2"/>
  <c r="A310" i="6"/>
  <c r="A311" i="6"/>
  <c r="A312" i="6"/>
  <c r="A313" i="6"/>
  <c r="A314" i="6"/>
  <c r="A315" i="6"/>
  <c r="A316" i="6"/>
  <c r="A317" i="6"/>
  <c r="A282" i="6"/>
  <c r="A283" i="6"/>
  <c r="A284" i="6"/>
  <c r="A273" i="6"/>
  <c r="A274" i="6"/>
  <c r="A275" i="6"/>
  <c r="A56" i="6"/>
  <c r="A57" i="6"/>
  <c r="A58" i="6"/>
  <c r="A137" i="6"/>
  <c r="A138" i="6"/>
  <c r="A139" i="6"/>
  <c r="A182" i="6"/>
  <c r="A183" i="6"/>
  <c r="A184" i="6"/>
  <c r="A291" i="6"/>
  <c r="A292" i="6"/>
  <c r="A293" i="6"/>
  <c r="A294" i="6"/>
  <c r="A295" i="6"/>
  <c r="A296" i="6"/>
  <c r="A297" i="6"/>
  <c r="A298" i="6"/>
  <c r="A299" i="6"/>
  <c r="A200" i="6"/>
  <c r="A237" i="6"/>
  <c r="A238" i="6"/>
  <c r="A239" i="6"/>
  <c r="A240" i="6"/>
  <c r="A241" i="6"/>
  <c r="A242" i="6"/>
  <c r="A243" i="6"/>
  <c r="A244" i="6"/>
  <c r="A245" i="6"/>
  <c r="A285" i="6"/>
  <c r="A276" i="6"/>
  <c r="A286" i="6"/>
  <c r="A277" i="6"/>
  <c r="A287" i="6"/>
  <c r="A278" i="6"/>
  <c r="A288" i="6"/>
  <c r="A279" i="6"/>
  <c r="A289" i="6"/>
  <c r="A280" i="6"/>
  <c r="A290" i="6"/>
  <c r="A281" i="6"/>
  <c r="A300" i="6"/>
  <c r="A301" i="6"/>
  <c r="A302" i="6"/>
  <c r="A303" i="6"/>
  <c r="A304" i="6"/>
  <c r="A305" i="6"/>
  <c r="A306" i="6"/>
  <c r="A307" i="6"/>
  <c r="A308" i="6"/>
  <c r="A246" i="6"/>
  <c r="A247" i="6"/>
  <c r="A248" i="6"/>
  <c r="A249" i="6"/>
  <c r="A250" i="6"/>
  <c r="A251" i="6"/>
  <c r="A252" i="6"/>
  <c r="A253" i="6"/>
  <c r="A254" i="6"/>
  <c r="A140" i="6"/>
  <c r="A141" i="6"/>
  <c r="A142" i="6"/>
  <c r="A219" i="6"/>
  <c r="A220" i="6"/>
  <c r="A221" i="6"/>
  <c r="A92" i="6"/>
  <c r="A93" i="6"/>
  <c r="A94" i="6"/>
  <c r="A95" i="6"/>
  <c r="A96" i="6"/>
  <c r="A97" i="6"/>
  <c r="A98" i="6"/>
  <c r="A99" i="6"/>
  <c r="A100" i="6"/>
  <c r="A59" i="6"/>
  <c r="A60" i="6"/>
  <c r="A61" i="6"/>
  <c r="A255" i="6"/>
  <c r="A256" i="6"/>
  <c r="A257" i="6"/>
  <c r="A258" i="6"/>
  <c r="A259" i="6"/>
  <c r="A260" i="6"/>
  <c r="A261" i="6"/>
  <c r="A262" i="6"/>
  <c r="A263" i="6"/>
  <c r="A143" i="6"/>
  <c r="A144" i="6"/>
  <c r="A145" i="6"/>
  <c r="A185" i="6"/>
  <c r="A186" i="6"/>
  <c r="A187" i="6"/>
  <c r="A188" i="6"/>
  <c r="A189" i="6"/>
  <c r="A190" i="6"/>
  <c r="A191" i="6"/>
  <c r="A192" i="6"/>
  <c r="A193" i="6"/>
  <c r="A222" i="6"/>
  <c r="A223" i="6"/>
  <c r="A224" i="6"/>
  <c r="A225" i="6"/>
  <c r="A226" i="6"/>
  <c r="A227" i="6"/>
  <c r="A62" i="6"/>
  <c r="A63" i="6"/>
  <c r="A64" i="6"/>
  <c r="A65" i="6"/>
  <c r="A66" i="6"/>
  <c r="A67" i="6"/>
  <c r="A146" i="6"/>
  <c r="A147" i="6"/>
  <c r="A148" i="6"/>
  <c r="A149" i="6"/>
  <c r="A150" i="6"/>
  <c r="A151" i="6"/>
  <c r="A228" i="6"/>
  <c r="A229" i="6"/>
  <c r="A230" i="6"/>
  <c r="A318" i="6"/>
  <c r="A319" i="6"/>
  <c r="A320" i="6"/>
  <c r="A321" i="6"/>
  <c r="A322" i="6"/>
  <c r="A323" i="6"/>
  <c r="A324" i="6"/>
  <c r="A325" i="6"/>
  <c r="A326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68" i="6"/>
  <c r="A69" i="6"/>
  <c r="A70" i="6"/>
  <c r="A71" i="6"/>
  <c r="A72" i="6"/>
  <c r="A73" i="6"/>
  <c r="A264" i="6"/>
  <c r="A265" i="6"/>
  <c r="A266" i="6"/>
  <c r="A267" i="6"/>
  <c r="A268" i="6"/>
  <c r="A269" i="6"/>
  <c r="A270" i="6"/>
  <c r="A271" i="6"/>
  <c r="A272" i="6"/>
  <c r="A152" i="6"/>
  <c r="A153" i="6"/>
  <c r="A154" i="6"/>
  <c r="A194" i="6"/>
  <c r="A195" i="6"/>
  <c r="A196" i="6"/>
  <c r="A197" i="6"/>
  <c r="A198" i="6"/>
  <c r="A199" i="6"/>
  <c r="A231" i="6"/>
  <c r="A232" i="6"/>
  <c r="A233" i="6"/>
  <c r="A234" i="6"/>
  <c r="A235" i="6"/>
  <c r="A236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155" i="6"/>
  <c r="A156" i="6"/>
  <c r="A157" i="6"/>
  <c r="A158" i="6"/>
  <c r="A159" i="6"/>
  <c r="A160" i="6"/>
  <c r="A161" i="6"/>
  <c r="A162" i="6"/>
  <c r="A163" i="6"/>
  <c r="A38" i="6"/>
  <c r="A39" i="6"/>
  <c r="A40" i="6"/>
  <c r="A41" i="6"/>
  <c r="A42" i="6"/>
  <c r="A43" i="6"/>
  <c r="A44" i="6"/>
  <c r="A45" i="6"/>
  <c r="A46" i="6"/>
  <c r="A327" i="6"/>
  <c r="A328" i="6"/>
  <c r="A329" i="6"/>
  <c r="A330" i="6"/>
  <c r="A331" i="6"/>
  <c r="A332" i="6"/>
  <c r="A333" i="6"/>
  <c r="A334" i="6"/>
  <c r="A335" i="6"/>
  <c r="A128" i="6"/>
  <c r="A129" i="6"/>
  <c r="A130" i="6"/>
  <c r="A131" i="6"/>
  <c r="A132" i="6"/>
  <c r="A133" i="6"/>
  <c r="A134" i="6"/>
  <c r="A135" i="6"/>
  <c r="A136" i="6"/>
  <c r="A119" i="6"/>
  <c r="A120" i="6"/>
  <c r="A121" i="6"/>
  <c r="A122" i="6"/>
  <c r="A123" i="6"/>
  <c r="A124" i="6"/>
  <c r="A125" i="6"/>
  <c r="A126" i="6"/>
  <c r="A127" i="6"/>
  <c r="A47" i="6"/>
  <c r="A48" i="6"/>
  <c r="A49" i="6"/>
  <c r="A50" i="6"/>
  <c r="A51" i="6"/>
  <c r="A52" i="6"/>
  <c r="A53" i="6"/>
  <c r="A54" i="6"/>
  <c r="A55" i="6"/>
  <c r="A201" i="6"/>
  <c r="A202" i="6"/>
  <c r="A203" i="6"/>
  <c r="A204" i="6"/>
  <c r="A205" i="6"/>
  <c r="A206" i="6"/>
  <c r="A207" i="6"/>
  <c r="A208" i="6"/>
  <c r="A218" i="6"/>
  <c r="A74" i="6"/>
  <c r="A75" i="6"/>
  <c r="A76" i="6"/>
  <c r="A77" i="6"/>
  <c r="A78" i="6"/>
  <c r="A79" i="6"/>
  <c r="A80" i="6"/>
  <c r="A81" i="6"/>
  <c r="A82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83" i="6"/>
  <c r="A84" i="6"/>
  <c r="A85" i="6"/>
  <c r="A86" i="6"/>
  <c r="A87" i="6"/>
  <c r="A88" i="6"/>
  <c r="A89" i="6"/>
  <c r="A90" i="6"/>
  <c r="A91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09" i="6"/>
  <c r="H20" i="3"/>
  <c r="G20" i="3" s="1"/>
  <c r="H17" i="3"/>
  <c r="G17" i="3" s="1"/>
  <c r="H16" i="3"/>
  <c r="G16" i="3" s="1"/>
  <c r="A145" i="5"/>
  <c r="A144" i="5"/>
  <c r="A143" i="5"/>
  <c r="A142" i="5"/>
  <c r="A141" i="5"/>
  <c r="A140" i="5"/>
  <c r="A139" i="5"/>
  <c r="A138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2" i="5"/>
  <c r="A130" i="5"/>
  <c r="A131" i="5"/>
  <c r="A132" i="5"/>
  <c r="A133" i="5"/>
  <c r="A134" i="5"/>
  <c r="A135" i="5"/>
  <c r="A136" i="5"/>
  <c r="A137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2" i="5"/>
  <c r="L290" i="6" s="1"/>
  <c r="H3" i="3"/>
  <c r="G3" i="3" s="1"/>
  <c r="H4" i="3"/>
  <c r="G4" i="3" s="1"/>
  <c r="H5" i="3"/>
  <c r="G5" i="3" s="1"/>
  <c r="H6" i="3"/>
  <c r="G6" i="3" s="1"/>
  <c r="H7" i="3"/>
  <c r="G7" i="3" s="1"/>
  <c r="H8" i="3"/>
  <c r="G8" i="3" s="1"/>
  <c r="H9" i="3"/>
  <c r="G9" i="3" s="1"/>
  <c r="H10" i="3"/>
  <c r="G10" i="3" s="1"/>
  <c r="H11" i="3"/>
  <c r="G11" i="3" s="1"/>
  <c r="H12" i="3"/>
  <c r="G12" i="3" s="1"/>
  <c r="H13" i="3"/>
  <c r="G13" i="3" s="1"/>
  <c r="H14" i="3"/>
  <c r="G14" i="3" s="1"/>
  <c r="H15" i="3"/>
  <c r="G15" i="3" s="1"/>
  <c r="H18" i="3"/>
  <c r="G18" i="3" s="1"/>
  <c r="H19" i="3"/>
  <c r="G19" i="3" s="1"/>
  <c r="G21" i="3"/>
  <c r="H22" i="3"/>
  <c r="G22" i="3" s="1"/>
  <c r="H23" i="3"/>
  <c r="G23" i="3" s="1"/>
  <c r="H24" i="3"/>
  <c r="G24" i="3" s="1"/>
  <c r="H25" i="3"/>
  <c r="G25" i="3" s="1"/>
  <c r="G27" i="3"/>
  <c r="H28" i="3"/>
  <c r="G28" i="3" s="1"/>
  <c r="H29" i="3"/>
  <c r="G29" i="3" s="1"/>
  <c r="H30" i="3"/>
  <c r="G30" i="3" s="1"/>
  <c r="H31" i="3"/>
  <c r="G31" i="3" s="1"/>
  <c r="H32" i="3"/>
  <c r="G32" i="3" s="1"/>
  <c r="H34" i="3"/>
  <c r="G34" i="3" s="1"/>
  <c r="H35" i="3"/>
  <c r="G35" i="3" s="1"/>
  <c r="H36" i="3"/>
  <c r="G36" i="3" s="1"/>
  <c r="H37" i="3"/>
  <c r="G37" i="3" s="1"/>
  <c r="H44" i="3"/>
  <c r="G44" i="3" s="1"/>
  <c r="H45" i="3"/>
  <c r="G45" i="3" s="1"/>
  <c r="H46" i="3"/>
  <c r="G46" i="3" s="1"/>
  <c r="H47" i="3"/>
  <c r="G47" i="3" s="1"/>
  <c r="H48" i="3"/>
  <c r="G48" i="3" s="1"/>
  <c r="H49" i="3"/>
  <c r="G49" i="3" s="1"/>
  <c r="H50" i="3"/>
  <c r="G50" i="3" s="1"/>
  <c r="G51" i="3"/>
  <c r="H52" i="3"/>
  <c r="G52" i="3" s="1"/>
  <c r="H53" i="3"/>
  <c r="G53" i="3" s="1"/>
  <c r="H54" i="3"/>
  <c r="G54" i="3" s="1"/>
  <c r="H55" i="3"/>
  <c r="G55" i="3" s="1"/>
  <c r="H2" i="3"/>
  <c r="G2" i="3" s="1"/>
  <c r="U28" i="2" l="1"/>
  <c r="U18" i="2"/>
  <c r="U19" i="2"/>
  <c r="U24" i="2"/>
  <c r="U22" i="2"/>
  <c r="U11" i="2"/>
  <c r="U16" i="2"/>
  <c r="U17" i="2"/>
  <c r="U14" i="2"/>
  <c r="U13" i="2"/>
  <c r="U25" i="2"/>
  <c r="U15" i="2"/>
  <c r="U26" i="2"/>
  <c r="U12" i="2"/>
  <c r="U27" i="2"/>
  <c r="U23" i="2"/>
  <c r="U20" i="2"/>
  <c r="U21" i="2"/>
  <c r="U10" i="2"/>
  <c r="E129" i="5"/>
  <c r="M314" i="6" s="1"/>
  <c r="E121" i="5"/>
  <c r="O10" i="3"/>
  <c r="O32" i="3"/>
  <c r="V27" i="2"/>
  <c r="V26" i="2"/>
  <c r="V25" i="2"/>
  <c r="V24" i="2"/>
  <c r="V23" i="2"/>
  <c r="W28" i="2"/>
  <c r="W27" i="2"/>
  <c r="W26" i="2"/>
  <c r="W25" i="2"/>
  <c r="W24" i="2"/>
  <c r="W15" i="2"/>
  <c r="W10" i="2"/>
  <c r="W16" i="2"/>
  <c r="W23" i="2"/>
  <c r="W14" i="2"/>
  <c r="W13" i="2"/>
  <c r="W19" i="2"/>
  <c r="W11" i="2"/>
  <c r="W17" i="2"/>
  <c r="W21" i="2"/>
  <c r="W12" i="2"/>
  <c r="W18" i="2"/>
  <c r="W20" i="2"/>
  <c r="M19" i="6"/>
  <c r="Y23" i="2"/>
  <c r="M279" i="6"/>
  <c r="K62" i="6"/>
  <c r="K297" i="6"/>
  <c r="M278" i="6"/>
  <c r="K61" i="6"/>
  <c r="M128" i="6"/>
  <c r="L288" i="6"/>
  <c r="M285" i="6"/>
  <c r="K283" i="6"/>
  <c r="L280" i="6"/>
  <c r="M277" i="6"/>
  <c r="K275" i="6"/>
  <c r="L73" i="6"/>
  <c r="M70" i="6"/>
  <c r="K68" i="6"/>
  <c r="L65" i="6"/>
  <c r="M62" i="6"/>
  <c r="K60" i="6"/>
  <c r="L57" i="6"/>
  <c r="L307" i="6"/>
  <c r="L304" i="6"/>
  <c r="K301" i="6"/>
  <c r="K298" i="6"/>
  <c r="M294" i="6"/>
  <c r="L291" i="6"/>
  <c r="M17" i="6"/>
  <c r="K15" i="6"/>
  <c r="L12" i="6"/>
  <c r="M9" i="6"/>
  <c r="K7" i="6"/>
  <c r="M3" i="6"/>
  <c r="L36" i="6"/>
  <c r="L31" i="6"/>
  <c r="M21" i="6"/>
  <c r="K101" i="6"/>
  <c r="M176" i="6"/>
  <c r="L327" i="6"/>
  <c r="K243" i="6"/>
  <c r="M206" i="6"/>
  <c r="L221" i="6"/>
  <c r="K154" i="6"/>
  <c r="M51" i="6"/>
  <c r="L120" i="6"/>
  <c r="K135" i="6"/>
  <c r="K277" i="6"/>
  <c r="L59" i="6"/>
  <c r="L90" i="6"/>
  <c r="K284" i="6"/>
  <c r="K69" i="6"/>
  <c r="M290" i="6"/>
  <c r="K288" i="6"/>
  <c r="L285" i="6"/>
  <c r="M282" i="6"/>
  <c r="K280" i="6"/>
  <c r="L277" i="6"/>
  <c r="M274" i="6"/>
  <c r="K73" i="6"/>
  <c r="L70" i="6"/>
  <c r="M67" i="6"/>
  <c r="K65" i="6"/>
  <c r="L62" i="6"/>
  <c r="M59" i="6"/>
  <c r="K57" i="6"/>
  <c r="K307" i="6"/>
  <c r="K304" i="6"/>
  <c r="M300" i="6"/>
  <c r="L297" i="6"/>
  <c r="L294" i="6"/>
  <c r="K291" i="6"/>
  <c r="L17" i="6"/>
  <c r="M14" i="6"/>
  <c r="K12" i="6"/>
  <c r="L9" i="6"/>
  <c r="M6" i="6"/>
  <c r="L3" i="6"/>
  <c r="L35" i="6"/>
  <c r="K30" i="6"/>
  <c r="M20" i="6"/>
  <c r="K100" i="6"/>
  <c r="K174" i="6"/>
  <c r="M324" i="6"/>
  <c r="L240" i="6"/>
  <c r="K204" i="6"/>
  <c r="M199" i="6"/>
  <c r="L151" i="6"/>
  <c r="K49" i="6"/>
  <c r="M117" i="6"/>
  <c r="L132" i="6"/>
  <c r="L274" i="6"/>
  <c r="M56" i="6"/>
  <c r="K17" i="6"/>
  <c r="M11" i="6"/>
  <c r="L6" i="6"/>
  <c r="K35" i="6"/>
  <c r="K109" i="6"/>
  <c r="L171" i="6"/>
  <c r="M237" i="6"/>
  <c r="L201" i="6"/>
  <c r="M148" i="6"/>
  <c r="K115" i="6"/>
  <c r="K256" i="6"/>
  <c r="K290" i="6"/>
  <c r="L287" i="6"/>
  <c r="M284" i="6"/>
  <c r="K282" i="6"/>
  <c r="L279" i="6"/>
  <c r="M276" i="6"/>
  <c r="K274" i="6"/>
  <c r="L72" i="6"/>
  <c r="M69" i="6"/>
  <c r="K67" i="6"/>
  <c r="L64" i="6"/>
  <c r="M61" i="6"/>
  <c r="K59" i="6"/>
  <c r="L56" i="6"/>
  <c r="L306" i="6"/>
  <c r="K303" i="6"/>
  <c r="K300" i="6"/>
  <c r="M296" i="6"/>
  <c r="L293" i="6"/>
  <c r="L19" i="6"/>
  <c r="M16" i="6"/>
  <c r="K14" i="6"/>
  <c r="L11" i="6"/>
  <c r="M8" i="6"/>
  <c r="K6" i="6"/>
  <c r="M2" i="6"/>
  <c r="L34" i="6"/>
  <c r="M28" i="6"/>
  <c r="K108" i="6"/>
  <c r="L97" i="6"/>
  <c r="M168" i="6"/>
  <c r="L319" i="6"/>
  <c r="M81" i="6"/>
  <c r="M234" i="6"/>
  <c r="L194" i="6"/>
  <c r="K146" i="6"/>
  <c r="M43" i="6"/>
  <c r="L112" i="6"/>
  <c r="M72" i="6"/>
  <c r="M306" i="6"/>
  <c r="K294" i="6"/>
  <c r="L14" i="6"/>
  <c r="K9" i="6"/>
  <c r="K3" i="6"/>
  <c r="M29" i="6"/>
  <c r="L98" i="6"/>
  <c r="K322" i="6"/>
  <c r="K197" i="6"/>
  <c r="L46" i="6"/>
  <c r="M129" i="6"/>
  <c r="M289" i="6"/>
  <c r="K287" i="6"/>
  <c r="L284" i="6"/>
  <c r="M281" i="6"/>
  <c r="K279" i="6"/>
  <c r="L276" i="6"/>
  <c r="M273" i="6"/>
  <c r="K72" i="6"/>
  <c r="L69" i="6"/>
  <c r="M66" i="6"/>
  <c r="K64" i="6"/>
  <c r="L61" i="6"/>
  <c r="M58" i="6"/>
  <c r="K56" i="6"/>
  <c r="K306" i="6"/>
  <c r="M302" i="6"/>
  <c r="L299" i="6"/>
  <c r="L296" i="6"/>
  <c r="K293" i="6"/>
  <c r="K19" i="6"/>
  <c r="L16" i="6"/>
  <c r="M13" i="6"/>
  <c r="K11" i="6"/>
  <c r="L8" i="6"/>
  <c r="M5" i="6"/>
  <c r="K2" i="6"/>
  <c r="K34" i="6"/>
  <c r="K27" i="6"/>
  <c r="L106" i="6"/>
  <c r="M95" i="6"/>
  <c r="K166" i="6"/>
  <c r="M253" i="6"/>
  <c r="L217" i="6"/>
  <c r="K232" i="6"/>
  <c r="M191" i="6"/>
  <c r="L143" i="6"/>
  <c r="K41" i="6"/>
  <c r="M163" i="6"/>
  <c r="L282" i="6"/>
  <c r="M64" i="6"/>
  <c r="L300" i="6"/>
  <c r="L281" i="6"/>
  <c r="M71" i="6"/>
  <c r="L58" i="6"/>
  <c r="M308" i="6"/>
  <c r="L305" i="6"/>
  <c r="L302" i="6"/>
  <c r="K299" i="6"/>
  <c r="K296" i="6"/>
  <c r="M292" i="6"/>
  <c r="M18" i="6"/>
  <c r="K16" i="6"/>
  <c r="L13" i="6"/>
  <c r="M10" i="6"/>
  <c r="K8" i="6"/>
  <c r="L5" i="6"/>
  <c r="M37" i="6"/>
  <c r="M33" i="6"/>
  <c r="K26" i="6"/>
  <c r="L105" i="6"/>
  <c r="M94" i="6"/>
  <c r="L335" i="6"/>
  <c r="K251" i="6"/>
  <c r="M214" i="6"/>
  <c r="L229" i="6"/>
  <c r="K189" i="6"/>
  <c r="M140" i="6"/>
  <c r="L38" i="6"/>
  <c r="K161" i="6"/>
  <c r="M287" i="6"/>
  <c r="K70" i="6"/>
  <c r="L303" i="6"/>
  <c r="K309" i="6"/>
  <c r="K311" i="6"/>
  <c r="K310" i="6"/>
  <c r="L316" i="6"/>
  <c r="K316" i="6"/>
  <c r="K317" i="6"/>
  <c r="L310" i="6"/>
  <c r="L309" i="6"/>
  <c r="K315" i="6"/>
  <c r="L312" i="6"/>
  <c r="L313" i="6"/>
  <c r="L311" i="6"/>
  <c r="L314" i="6"/>
  <c r="L315" i="6"/>
  <c r="L317" i="6"/>
  <c r="K313" i="6"/>
  <c r="K312" i="6"/>
  <c r="K314" i="6"/>
  <c r="Y18" i="2"/>
  <c r="Y27" i="2"/>
  <c r="M130" i="6"/>
  <c r="L133" i="6"/>
  <c r="K136" i="6"/>
  <c r="M156" i="6"/>
  <c r="L159" i="6"/>
  <c r="K162" i="6"/>
  <c r="M110" i="6"/>
  <c r="L113" i="6"/>
  <c r="K116" i="6"/>
  <c r="M118" i="6"/>
  <c r="L121" i="6"/>
  <c r="K124" i="6"/>
  <c r="M126" i="6"/>
  <c r="L39" i="6"/>
  <c r="K42" i="6"/>
  <c r="M44" i="6"/>
  <c r="L47" i="6"/>
  <c r="K50" i="6"/>
  <c r="M52" i="6"/>
  <c r="L55" i="6"/>
  <c r="K139" i="6"/>
  <c r="M141" i="6"/>
  <c r="L144" i="6"/>
  <c r="K147" i="6"/>
  <c r="M149" i="6"/>
  <c r="L152" i="6"/>
  <c r="K182" i="6"/>
  <c r="M184" i="6"/>
  <c r="L187" i="6"/>
  <c r="K190" i="6"/>
  <c r="M192" i="6"/>
  <c r="L195" i="6"/>
  <c r="K198" i="6"/>
  <c r="M219" i="6"/>
  <c r="L222" i="6"/>
  <c r="K225" i="6"/>
  <c r="M227" i="6"/>
  <c r="L230" i="6"/>
  <c r="K233" i="6"/>
  <c r="M235" i="6"/>
  <c r="L202" i="6"/>
  <c r="K205" i="6"/>
  <c r="M207" i="6"/>
  <c r="L210" i="6"/>
  <c r="K213" i="6"/>
  <c r="M215" i="6"/>
  <c r="L218" i="6"/>
  <c r="M87" i="6"/>
  <c r="M238" i="6"/>
  <c r="L241" i="6"/>
  <c r="K244" i="6"/>
  <c r="M246" i="6"/>
  <c r="L249" i="6"/>
  <c r="K252" i="6"/>
  <c r="M254" i="6"/>
  <c r="L320" i="6"/>
  <c r="K323" i="6"/>
  <c r="M325" i="6"/>
  <c r="L328" i="6"/>
  <c r="K331" i="6"/>
  <c r="M333" i="6"/>
  <c r="L164" i="6"/>
  <c r="K167" i="6"/>
  <c r="M169" i="6"/>
  <c r="L172" i="6"/>
  <c r="K175" i="6"/>
  <c r="M177" i="6"/>
  <c r="L180" i="6"/>
  <c r="K93" i="6"/>
  <c r="Y11" i="2"/>
  <c r="Y19" i="2"/>
  <c r="K131" i="6"/>
  <c r="M133" i="6"/>
  <c r="L136" i="6"/>
  <c r="K157" i="6"/>
  <c r="M159" i="6"/>
  <c r="L162" i="6"/>
  <c r="K111" i="6"/>
  <c r="M113" i="6"/>
  <c r="L116" i="6"/>
  <c r="K119" i="6"/>
  <c r="M121" i="6"/>
  <c r="L124" i="6"/>
  <c r="K127" i="6"/>
  <c r="M39" i="6"/>
  <c r="L42" i="6"/>
  <c r="K45" i="6"/>
  <c r="M47" i="6"/>
  <c r="L50" i="6"/>
  <c r="K53" i="6"/>
  <c r="M55" i="6"/>
  <c r="L139" i="6"/>
  <c r="K142" i="6"/>
  <c r="M144" i="6"/>
  <c r="L147" i="6"/>
  <c r="K150" i="6"/>
  <c r="M152" i="6"/>
  <c r="L182" i="6"/>
  <c r="K185" i="6"/>
  <c r="M187" i="6"/>
  <c r="L190" i="6"/>
  <c r="K193" i="6"/>
  <c r="M195" i="6"/>
  <c r="L198" i="6"/>
  <c r="K220" i="6"/>
  <c r="M222" i="6"/>
  <c r="L225" i="6"/>
  <c r="K228" i="6"/>
  <c r="M230" i="6"/>
  <c r="L233" i="6"/>
  <c r="K236" i="6"/>
  <c r="M202" i="6"/>
  <c r="L205" i="6"/>
  <c r="K208" i="6"/>
  <c r="M210" i="6"/>
  <c r="L213" i="6"/>
  <c r="K216" i="6"/>
  <c r="M218" i="6"/>
  <c r="M89" i="6"/>
  <c r="K239" i="6"/>
  <c r="M241" i="6"/>
  <c r="L244" i="6"/>
  <c r="K247" i="6"/>
  <c r="M249" i="6"/>
  <c r="L252" i="6"/>
  <c r="K318" i="6"/>
  <c r="M320" i="6"/>
  <c r="L323" i="6"/>
  <c r="K326" i="6"/>
  <c r="M328" i="6"/>
  <c r="L331" i="6"/>
  <c r="K334" i="6"/>
  <c r="M164" i="6"/>
  <c r="L167" i="6"/>
  <c r="K170" i="6"/>
  <c r="M172" i="6"/>
  <c r="L175" i="6"/>
  <c r="K178" i="6"/>
  <c r="M180" i="6"/>
  <c r="L93" i="6"/>
  <c r="K96" i="6"/>
  <c r="M98" i="6"/>
  <c r="L101" i="6"/>
  <c r="K104" i="6"/>
  <c r="M106" i="6"/>
  <c r="L109" i="6"/>
  <c r="K22" i="6"/>
  <c r="M24" i="6"/>
  <c r="L27" i="6"/>
  <c r="Y12" i="2"/>
  <c r="Y20" i="2"/>
  <c r="L131" i="6"/>
  <c r="K134" i="6"/>
  <c r="M136" i="6"/>
  <c r="L157" i="6"/>
  <c r="K160" i="6"/>
  <c r="M162" i="6"/>
  <c r="L111" i="6"/>
  <c r="K114" i="6"/>
  <c r="M116" i="6"/>
  <c r="L119" i="6"/>
  <c r="K122" i="6"/>
  <c r="M124" i="6"/>
  <c r="L127" i="6"/>
  <c r="K40" i="6"/>
  <c r="M42" i="6"/>
  <c r="L45" i="6"/>
  <c r="K48" i="6"/>
  <c r="M50" i="6"/>
  <c r="L53" i="6"/>
  <c r="K137" i="6"/>
  <c r="M139" i="6"/>
  <c r="L142" i="6"/>
  <c r="K145" i="6"/>
  <c r="M147" i="6"/>
  <c r="L150" i="6"/>
  <c r="K153" i="6"/>
  <c r="M182" i="6"/>
  <c r="L185" i="6"/>
  <c r="K188" i="6"/>
  <c r="M190" i="6"/>
  <c r="L193" i="6"/>
  <c r="K196" i="6"/>
  <c r="M198" i="6"/>
  <c r="L220" i="6"/>
  <c r="K223" i="6"/>
  <c r="M225" i="6"/>
  <c r="L228" i="6"/>
  <c r="K231" i="6"/>
  <c r="M233" i="6"/>
  <c r="L236" i="6"/>
  <c r="K203" i="6"/>
  <c r="M205" i="6"/>
  <c r="L208" i="6"/>
  <c r="K211" i="6"/>
  <c r="M213" i="6"/>
  <c r="L216" i="6"/>
  <c r="M75" i="6"/>
  <c r="M91" i="6"/>
  <c r="L239" i="6"/>
  <c r="K242" i="6"/>
  <c r="M244" i="6"/>
  <c r="L247" i="6"/>
  <c r="K250" i="6"/>
  <c r="M252" i="6"/>
  <c r="L318" i="6"/>
  <c r="K321" i="6"/>
  <c r="M323" i="6"/>
  <c r="L326" i="6"/>
  <c r="K329" i="6"/>
  <c r="M331" i="6"/>
  <c r="L334" i="6"/>
  <c r="K165" i="6"/>
  <c r="M167" i="6"/>
  <c r="L170" i="6"/>
  <c r="K173" i="6"/>
  <c r="M175" i="6"/>
  <c r="L178" i="6"/>
  <c r="K181" i="6"/>
  <c r="M93" i="6"/>
  <c r="L96" i="6"/>
  <c r="K99" i="6"/>
  <c r="M101" i="6"/>
  <c r="L104" i="6"/>
  <c r="K107" i="6"/>
  <c r="M109" i="6"/>
  <c r="L22" i="6"/>
  <c r="K25" i="6"/>
  <c r="M27" i="6"/>
  <c r="L30" i="6"/>
  <c r="K33" i="6"/>
  <c r="M35" i="6"/>
  <c r="L2" i="6"/>
  <c r="K5" i="6"/>
  <c r="Y13" i="2"/>
  <c r="Y21" i="2"/>
  <c r="K129" i="6"/>
  <c r="M131" i="6"/>
  <c r="L134" i="6"/>
  <c r="K155" i="6"/>
  <c r="M157" i="6"/>
  <c r="L160" i="6"/>
  <c r="K163" i="6"/>
  <c r="M111" i="6"/>
  <c r="L114" i="6"/>
  <c r="K117" i="6"/>
  <c r="M119" i="6"/>
  <c r="L122" i="6"/>
  <c r="K125" i="6"/>
  <c r="M127" i="6"/>
  <c r="L40" i="6"/>
  <c r="K43" i="6"/>
  <c r="M45" i="6"/>
  <c r="L48" i="6"/>
  <c r="K51" i="6"/>
  <c r="M53" i="6"/>
  <c r="L137" i="6"/>
  <c r="K140" i="6"/>
  <c r="M142" i="6"/>
  <c r="L145" i="6"/>
  <c r="K148" i="6"/>
  <c r="M150" i="6"/>
  <c r="L153" i="6"/>
  <c r="K183" i="6"/>
  <c r="M185" i="6"/>
  <c r="L188" i="6"/>
  <c r="K191" i="6"/>
  <c r="M193" i="6"/>
  <c r="L196" i="6"/>
  <c r="K199" i="6"/>
  <c r="M220" i="6"/>
  <c r="L223" i="6"/>
  <c r="K226" i="6"/>
  <c r="M228" i="6"/>
  <c r="L231" i="6"/>
  <c r="K234" i="6"/>
  <c r="M236" i="6"/>
  <c r="L203" i="6"/>
  <c r="K206" i="6"/>
  <c r="M208" i="6"/>
  <c r="L211" i="6"/>
  <c r="K214" i="6"/>
  <c r="M216" i="6"/>
  <c r="M77" i="6"/>
  <c r="K237" i="6"/>
  <c r="M239" i="6"/>
  <c r="L242" i="6"/>
  <c r="K245" i="6"/>
  <c r="M247" i="6"/>
  <c r="L250" i="6"/>
  <c r="K253" i="6"/>
  <c r="M318" i="6"/>
  <c r="L321" i="6"/>
  <c r="K324" i="6"/>
  <c r="M326" i="6"/>
  <c r="L329" i="6"/>
  <c r="K332" i="6"/>
  <c r="M334" i="6"/>
  <c r="L165" i="6"/>
  <c r="K168" i="6"/>
  <c r="M170" i="6"/>
  <c r="L173" i="6"/>
  <c r="K176" i="6"/>
  <c r="M178" i="6"/>
  <c r="L181" i="6"/>
  <c r="K94" i="6"/>
  <c r="M96" i="6"/>
  <c r="L99" i="6"/>
  <c r="K102" i="6"/>
  <c r="M104" i="6"/>
  <c r="L107" i="6"/>
  <c r="K20" i="6"/>
  <c r="M22" i="6"/>
  <c r="L25" i="6"/>
  <c r="K28" i="6"/>
  <c r="M30" i="6"/>
  <c r="L33" i="6"/>
  <c r="K36" i="6"/>
  <c r="Y14" i="2"/>
  <c r="Y22" i="2"/>
  <c r="L129" i="6"/>
  <c r="K132" i="6"/>
  <c r="M134" i="6"/>
  <c r="L155" i="6"/>
  <c r="K158" i="6"/>
  <c r="M160" i="6"/>
  <c r="L163" i="6"/>
  <c r="K112" i="6"/>
  <c r="M114" i="6"/>
  <c r="L117" i="6"/>
  <c r="K120" i="6"/>
  <c r="M122" i="6"/>
  <c r="L125" i="6"/>
  <c r="K38" i="6"/>
  <c r="M40" i="6"/>
  <c r="L43" i="6"/>
  <c r="K46" i="6"/>
  <c r="M48" i="6"/>
  <c r="L51" i="6"/>
  <c r="K54" i="6"/>
  <c r="M137" i="6"/>
  <c r="L140" i="6"/>
  <c r="K143" i="6"/>
  <c r="M145" i="6"/>
  <c r="L148" i="6"/>
  <c r="K151" i="6"/>
  <c r="M153" i="6"/>
  <c r="L183" i="6"/>
  <c r="K186" i="6"/>
  <c r="M188" i="6"/>
  <c r="L191" i="6"/>
  <c r="K194" i="6"/>
  <c r="M196" i="6"/>
  <c r="L199" i="6"/>
  <c r="K221" i="6"/>
  <c r="M223" i="6"/>
  <c r="L226" i="6"/>
  <c r="K229" i="6"/>
  <c r="M231" i="6"/>
  <c r="L234" i="6"/>
  <c r="K201" i="6"/>
  <c r="M203" i="6"/>
  <c r="L206" i="6"/>
  <c r="K209" i="6"/>
  <c r="M211" i="6"/>
  <c r="L214" i="6"/>
  <c r="K217" i="6"/>
  <c r="M79" i="6"/>
  <c r="L237" i="6"/>
  <c r="K240" i="6"/>
  <c r="M242" i="6"/>
  <c r="L245" i="6"/>
  <c r="K248" i="6"/>
  <c r="M250" i="6"/>
  <c r="L253" i="6"/>
  <c r="K319" i="6"/>
  <c r="M321" i="6"/>
  <c r="L324" i="6"/>
  <c r="K327" i="6"/>
  <c r="M329" i="6"/>
  <c r="L332" i="6"/>
  <c r="K335" i="6"/>
  <c r="M165" i="6"/>
  <c r="L168" i="6"/>
  <c r="K171" i="6"/>
  <c r="M173" i="6"/>
  <c r="L176" i="6"/>
  <c r="K179" i="6"/>
  <c r="M181" i="6"/>
  <c r="L94" i="6"/>
  <c r="K97" i="6"/>
  <c r="M99" i="6"/>
  <c r="L102" i="6"/>
  <c r="K105" i="6"/>
  <c r="M107" i="6"/>
  <c r="L20" i="6"/>
  <c r="K23" i="6"/>
  <c r="M25" i="6"/>
  <c r="L28" i="6"/>
  <c r="K31" i="6"/>
  <c r="Y16" i="2"/>
  <c r="Y25" i="2"/>
  <c r="K130" i="6"/>
  <c r="M132" i="6"/>
  <c r="L135" i="6"/>
  <c r="K156" i="6"/>
  <c r="M158" i="6"/>
  <c r="L161" i="6"/>
  <c r="K110" i="6"/>
  <c r="M112" i="6"/>
  <c r="L115" i="6"/>
  <c r="K118" i="6"/>
  <c r="M120" i="6"/>
  <c r="L123" i="6"/>
  <c r="K126" i="6"/>
  <c r="M38" i="6"/>
  <c r="L41" i="6"/>
  <c r="K44" i="6"/>
  <c r="M46" i="6"/>
  <c r="L49" i="6"/>
  <c r="K52" i="6"/>
  <c r="M54" i="6"/>
  <c r="L138" i="6"/>
  <c r="K141" i="6"/>
  <c r="M143" i="6"/>
  <c r="L146" i="6"/>
  <c r="K149" i="6"/>
  <c r="M151" i="6"/>
  <c r="L154" i="6"/>
  <c r="K184" i="6"/>
  <c r="M186" i="6"/>
  <c r="L189" i="6"/>
  <c r="K192" i="6"/>
  <c r="M194" i="6"/>
  <c r="L197" i="6"/>
  <c r="K219" i="6"/>
  <c r="M221" i="6"/>
  <c r="L224" i="6"/>
  <c r="K227" i="6"/>
  <c r="M229" i="6"/>
  <c r="L232" i="6"/>
  <c r="K235" i="6"/>
  <c r="M201" i="6"/>
  <c r="L204" i="6"/>
  <c r="K207" i="6"/>
  <c r="M209" i="6"/>
  <c r="L212" i="6"/>
  <c r="K215" i="6"/>
  <c r="M217" i="6"/>
  <c r="M83" i="6"/>
  <c r="K238" i="6"/>
  <c r="M240" i="6"/>
  <c r="L243" i="6"/>
  <c r="K246" i="6"/>
  <c r="M248" i="6"/>
  <c r="L251" i="6"/>
  <c r="K254" i="6"/>
  <c r="M319" i="6"/>
  <c r="L322" i="6"/>
  <c r="K325" i="6"/>
  <c r="M327" i="6"/>
  <c r="L330" i="6"/>
  <c r="K333" i="6"/>
  <c r="M335" i="6"/>
  <c r="L166" i="6"/>
  <c r="K169" i="6"/>
  <c r="M171" i="6"/>
  <c r="L174" i="6"/>
  <c r="K177" i="6"/>
  <c r="M179" i="6"/>
  <c r="L92" i="6"/>
  <c r="K95" i="6"/>
  <c r="M97" i="6"/>
  <c r="L100" i="6"/>
  <c r="K103" i="6"/>
  <c r="M105" i="6"/>
  <c r="L108" i="6"/>
  <c r="K21" i="6"/>
  <c r="M23" i="6"/>
  <c r="L26" i="6"/>
  <c r="K29" i="6"/>
  <c r="M31" i="6"/>
  <c r="Y17" i="2"/>
  <c r="Y26" i="2"/>
  <c r="L130" i="6"/>
  <c r="K133" i="6"/>
  <c r="M135" i="6"/>
  <c r="L156" i="6"/>
  <c r="K159" i="6"/>
  <c r="M161" i="6"/>
  <c r="L110" i="6"/>
  <c r="K113" i="6"/>
  <c r="M115" i="6"/>
  <c r="L118" i="6"/>
  <c r="K121" i="6"/>
  <c r="M123" i="6"/>
  <c r="L126" i="6"/>
  <c r="K39" i="6"/>
  <c r="M41" i="6"/>
  <c r="L44" i="6"/>
  <c r="K47" i="6"/>
  <c r="M49" i="6"/>
  <c r="L52" i="6"/>
  <c r="K55" i="6"/>
  <c r="M138" i="6"/>
  <c r="L141" i="6"/>
  <c r="K144" i="6"/>
  <c r="M146" i="6"/>
  <c r="L149" i="6"/>
  <c r="K152" i="6"/>
  <c r="M154" i="6"/>
  <c r="L184" i="6"/>
  <c r="K187" i="6"/>
  <c r="M189" i="6"/>
  <c r="L192" i="6"/>
  <c r="K195" i="6"/>
  <c r="M197" i="6"/>
  <c r="L219" i="6"/>
  <c r="K222" i="6"/>
  <c r="M224" i="6"/>
  <c r="L227" i="6"/>
  <c r="K230" i="6"/>
  <c r="M232" i="6"/>
  <c r="L235" i="6"/>
  <c r="K202" i="6"/>
  <c r="M204" i="6"/>
  <c r="L207" i="6"/>
  <c r="K210" i="6"/>
  <c r="M212" i="6"/>
  <c r="L215" i="6"/>
  <c r="K218" i="6"/>
  <c r="M85" i="6"/>
  <c r="L238" i="6"/>
  <c r="K241" i="6"/>
  <c r="M243" i="6"/>
  <c r="L246" i="6"/>
  <c r="K249" i="6"/>
  <c r="M251" i="6"/>
  <c r="L254" i="6"/>
  <c r="K320" i="6"/>
  <c r="M322" i="6"/>
  <c r="L325" i="6"/>
  <c r="K328" i="6"/>
  <c r="M330" i="6"/>
  <c r="L333" i="6"/>
  <c r="K164" i="6"/>
  <c r="M166" i="6"/>
  <c r="L169" i="6"/>
  <c r="K172" i="6"/>
  <c r="M174" i="6"/>
  <c r="L177" i="6"/>
  <c r="K180" i="6"/>
  <c r="M92" i="6"/>
  <c r="L95" i="6"/>
  <c r="K98" i="6"/>
  <c r="M100" i="6"/>
  <c r="L103" i="6"/>
  <c r="K106" i="6"/>
  <c r="M108" i="6"/>
  <c r="L21" i="6"/>
  <c r="K24" i="6"/>
  <c r="M26" i="6"/>
  <c r="L29" i="6"/>
  <c r="K32" i="6"/>
  <c r="M34" i="6"/>
  <c r="L37" i="6"/>
  <c r="K4" i="6"/>
  <c r="L289" i="6"/>
  <c r="K276" i="6"/>
  <c r="M63" i="6"/>
  <c r="K128" i="6"/>
  <c r="K289" i="6"/>
  <c r="M283" i="6"/>
  <c r="K281" i="6"/>
  <c r="L278" i="6"/>
  <c r="M275" i="6"/>
  <c r="K273" i="6"/>
  <c r="L71" i="6"/>
  <c r="M68" i="6"/>
  <c r="K66" i="6"/>
  <c r="L63" i="6"/>
  <c r="M60" i="6"/>
  <c r="K58" i="6"/>
  <c r="L308" i="6"/>
  <c r="K305" i="6"/>
  <c r="K302" i="6"/>
  <c r="M298" i="6"/>
  <c r="L295" i="6"/>
  <c r="L292" i="6"/>
  <c r="L18" i="6"/>
  <c r="M15" i="6"/>
  <c r="K13" i="6"/>
  <c r="L10" i="6"/>
  <c r="M7" i="6"/>
  <c r="M4" i="6"/>
  <c r="K37" i="6"/>
  <c r="M32" i="6"/>
  <c r="L24" i="6"/>
  <c r="M103" i="6"/>
  <c r="K92" i="6"/>
  <c r="M332" i="6"/>
  <c r="L248" i="6"/>
  <c r="K212" i="6"/>
  <c r="M226" i="6"/>
  <c r="L186" i="6"/>
  <c r="K138" i="6"/>
  <c r="M125" i="6"/>
  <c r="L158" i="6"/>
  <c r="Y15" i="2"/>
  <c r="K285" i="6"/>
  <c r="L67" i="6"/>
  <c r="M286" i="6"/>
  <c r="L273" i="6"/>
  <c r="L66" i="6"/>
  <c r="L286" i="6"/>
  <c r="L128" i="6"/>
  <c r="M288" i="6"/>
  <c r="K286" i="6"/>
  <c r="L283" i="6"/>
  <c r="M280" i="6"/>
  <c r="K278" i="6"/>
  <c r="L275" i="6"/>
  <c r="M73" i="6"/>
  <c r="K71" i="6"/>
  <c r="L68" i="6"/>
  <c r="M65" i="6"/>
  <c r="K63" i="6"/>
  <c r="L60" i="6"/>
  <c r="M57" i="6"/>
  <c r="K308" i="6"/>
  <c r="M304" i="6"/>
  <c r="L301" i="6"/>
  <c r="L298" i="6"/>
  <c r="K295" i="6"/>
  <c r="K292" i="6"/>
  <c r="K18" i="6"/>
  <c r="L15" i="6"/>
  <c r="M12" i="6"/>
  <c r="K10" i="6"/>
  <c r="L7" i="6"/>
  <c r="L4" i="6"/>
  <c r="M36" i="6"/>
  <c r="L32" i="6"/>
  <c r="L23" i="6"/>
  <c r="M102" i="6"/>
  <c r="L179" i="6"/>
  <c r="K330" i="6"/>
  <c r="M245" i="6"/>
  <c r="L209" i="6"/>
  <c r="K224" i="6"/>
  <c r="M183" i="6"/>
  <c r="L54" i="6"/>
  <c r="K123" i="6"/>
  <c r="M155" i="6"/>
  <c r="Y10" i="2"/>
  <c r="L74" i="6"/>
  <c r="M293" i="6"/>
  <c r="M301" i="6"/>
  <c r="M291" i="6"/>
  <c r="M299" i="6"/>
  <c r="M307" i="6"/>
  <c r="M297" i="6"/>
  <c r="M305" i="6"/>
  <c r="Y24" i="2"/>
  <c r="M295" i="6"/>
  <c r="M303" i="6"/>
  <c r="H33" i="3"/>
  <c r="G33" i="3" s="1"/>
  <c r="L272" i="6"/>
  <c r="M269" i="6"/>
  <c r="K267" i="6"/>
  <c r="L264" i="6"/>
  <c r="M261" i="6"/>
  <c r="K259" i="6"/>
  <c r="L256" i="6"/>
  <c r="K90" i="6"/>
  <c r="L87" i="6"/>
  <c r="M84" i="6"/>
  <c r="K82" i="6"/>
  <c r="L79" i="6"/>
  <c r="M76" i="6"/>
  <c r="K74" i="6"/>
  <c r="K272" i="6"/>
  <c r="L269" i="6"/>
  <c r="M266" i="6"/>
  <c r="K264" i="6"/>
  <c r="L261" i="6"/>
  <c r="M258" i="6"/>
  <c r="K87" i="6"/>
  <c r="L84" i="6"/>
  <c r="K79" i="6"/>
  <c r="L76" i="6"/>
  <c r="M271" i="6"/>
  <c r="K269" i="6"/>
  <c r="L266" i="6"/>
  <c r="M263" i="6"/>
  <c r="K261" i="6"/>
  <c r="L258" i="6"/>
  <c r="M255" i="6"/>
  <c r="L89" i="6"/>
  <c r="M86" i="6"/>
  <c r="K84" i="6"/>
  <c r="L81" i="6"/>
  <c r="M78" i="6"/>
  <c r="K76" i="6"/>
  <c r="L271" i="6"/>
  <c r="M268" i="6"/>
  <c r="K266" i="6"/>
  <c r="L263" i="6"/>
  <c r="M260" i="6"/>
  <c r="K258" i="6"/>
  <c r="L255" i="6"/>
  <c r="K89" i="6"/>
  <c r="L86" i="6"/>
  <c r="K81" i="6"/>
  <c r="L78" i="6"/>
  <c r="K271" i="6"/>
  <c r="L268" i="6"/>
  <c r="M265" i="6"/>
  <c r="K263" i="6"/>
  <c r="L260" i="6"/>
  <c r="M257" i="6"/>
  <c r="K255" i="6"/>
  <c r="L91" i="6"/>
  <c r="M88" i="6"/>
  <c r="K86" i="6"/>
  <c r="L83" i="6"/>
  <c r="M80" i="6"/>
  <c r="K78" i="6"/>
  <c r="L75" i="6"/>
  <c r="M270" i="6"/>
  <c r="K268" i="6"/>
  <c r="L265" i="6"/>
  <c r="M262" i="6"/>
  <c r="K260" i="6"/>
  <c r="L257" i="6"/>
  <c r="K91" i="6"/>
  <c r="L88" i="6"/>
  <c r="K83" i="6"/>
  <c r="L80" i="6"/>
  <c r="K75" i="6"/>
  <c r="L270" i="6"/>
  <c r="M267" i="6"/>
  <c r="K265" i="6"/>
  <c r="L262" i="6"/>
  <c r="M259" i="6"/>
  <c r="K257" i="6"/>
  <c r="M90" i="6"/>
  <c r="K88" i="6"/>
  <c r="L85" i="6"/>
  <c r="M82" i="6"/>
  <c r="K80" i="6"/>
  <c r="L77" i="6"/>
  <c r="M74" i="6"/>
  <c r="M272" i="6"/>
  <c r="K270" i="6"/>
  <c r="L267" i="6"/>
  <c r="M264" i="6"/>
  <c r="K262" i="6"/>
  <c r="L259" i="6"/>
  <c r="M256" i="6"/>
  <c r="K85" i="6"/>
  <c r="L82" i="6"/>
  <c r="K77" i="6"/>
  <c r="O44" i="3"/>
  <c r="M316" i="6" l="1"/>
  <c r="M310" i="6"/>
  <c r="M317" i="6"/>
  <c r="M315" i="6"/>
  <c r="M309" i="6"/>
  <c r="M312" i="6"/>
  <c r="M313" i="6"/>
  <c r="M311" i="6"/>
  <c r="G311" i="6"/>
  <c r="G30" i="6"/>
  <c r="M3" i="3"/>
  <c r="M4" i="3" s="1"/>
  <c r="O12" i="3"/>
  <c r="G317" i="6" l="1"/>
  <c r="G36" i="6"/>
  <c r="G314" i="6"/>
  <c r="G24" i="6"/>
  <c r="K5" i="2"/>
  <c r="K3" i="2"/>
  <c r="V28" i="2" l="1"/>
  <c r="V10" i="2"/>
  <c r="V20" i="2"/>
  <c r="V21" i="2"/>
  <c r="V22" i="2"/>
  <c r="V12" i="2"/>
  <c r="V18" i="2"/>
  <c r="V13" i="2"/>
  <c r="V17" i="2"/>
  <c r="V19" i="2"/>
  <c r="V16" i="2"/>
  <c r="V11" i="2"/>
  <c r="V15" i="2"/>
  <c r="V14" i="2"/>
  <c r="I17" i="2"/>
  <c r="I16" i="2"/>
  <c r="I24" i="2"/>
  <c r="X24" i="2" s="1"/>
  <c r="I23" i="2"/>
  <c r="X23" i="2" s="1"/>
  <c r="I15" i="2"/>
  <c r="I22" i="2"/>
  <c r="I14" i="2"/>
  <c r="I12" i="2"/>
  <c r="I21" i="2"/>
  <c r="I13" i="2"/>
  <c r="I28" i="2"/>
  <c r="X28" i="2" s="1"/>
  <c r="I20" i="2"/>
  <c r="I27" i="2"/>
  <c r="X27" i="2" s="1"/>
  <c r="I19" i="2"/>
  <c r="I11" i="2"/>
  <c r="I26" i="2"/>
  <c r="X26" i="2" s="1"/>
  <c r="I18" i="2"/>
  <c r="I10" i="2"/>
  <c r="I25" i="2"/>
  <c r="X25" i="2" s="1"/>
  <c r="P13" i="3"/>
  <c r="M14" i="3"/>
  <c r="L14" i="3"/>
  <c r="G312" i="6" l="1"/>
  <c r="G33" i="6"/>
  <c r="G21" i="6"/>
  <c r="G315" i="6"/>
  <c r="G309" i="6"/>
  <c r="G27" i="6"/>
  <c r="G26" i="6"/>
  <c r="G32" i="6"/>
  <c r="G20" i="6"/>
  <c r="G316" i="6"/>
  <c r="G28" i="6"/>
  <c r="G35" i="6"/>
  <c r="G29" i="6"/>
  <c r="G22" i="6"/>
  <c r="M22" i="2" s="1"/>
  <c r="O22" i="2" s="1"/>
  <c r="G313" i="6"/>
  <c r="G23" i="6"/>
  <c r="G34" i="6"/>
  <c r="G310" i="6"/>
  <c r="G25" i="6"/>
  <c r="G37" i="6"/>
  <c r="G31" i="6"/>
  <c r="X12" i="2"/>
  <c r="X14" i="2"/>
  <c r="X19" i="2"/>
  <c r="X11" i="2"/>
  <c r="X15" i="2"/>
  <c r="X20" i="2"/>
  <c r="X10" i="2"/>
  <c r="X13" i="2"/>
  <c r="X16" i="2"/>
  <c r="X18" i="2"/>
  <c r="X21" i="2"/>
  <c r="X17" i="2"/>
  <c r="G200" i="6"/>
  <c r="M28" i="2" s="1"/>
  <c r="G110" i="6"/>
  <c r="G14" i="6"/>
  <c r="G144" i="6"/>
  <c r="G149" i="6"/>
  <c r="G8" i="6"/>
  <c r="G123" i="6"/>
  <c r="G80" i="6"/>
  <c r="G155" i="6"/>
  <c r="G319" i="6"/>
  <c r="G182" i="6"/>
  <c r="G195" i="6"/>
  <c r="G9" i="6"/>
  <c r="G105" i="6"/>
  <c r="G213" i="6"/>
  <c r="G279" i="6"/>
  <c r="G202" i="6"/>
  <c r="G158" i="6"/>
  <c r="G207" i="6"/>
  <c r="G273" i="6"/>
  <c r="G189" i="6"/>
  <c r="G143" i="6"/>
  <c r="G318" i="6"/>
  <c r="G45" i="6"/>
  <c r="G255" i="6"/>
  <c r="G68" i="6"/>
  <c r="G285" i="6"/>
  <c r="G74" i="6"/>
  <c r="G220" i="6"/>
  <c r="G330" i="6"/>
  <c r="G298" i="6"/>
  <c r="G324" i="6"/>
  <c r="G161" i="6"/>
  <c r="G250" i="6"/>
  <c r="G256" i="6"/>
  <c r="G164" i="6"/>
  <c r="G134" i="6"/>
  <c r="G188" i="6"/>
  <c r="G214" i="6"/>
  <c r="G15" i="6"/>
  <c r="G137" i="6"/>
  <c r="G325" i="6"/>
  <c r="G280" i="6"/>
  <c r="G87" i="6"/>
  <c r="G50" i="6"/>
  <c r="G39" i="6"/>
  <c r="G44" i="6"/>
  <c r="G56" i="6"/>
  <c r="G75" i="6"/>
  <c r="G262" i="6"/>
  <c r="G268" i="6"/>
  <c r="G131" i="6"/>
  <c r="G291" i="6"/>
  <c r="G3" i="6"/>
  <c r="G51" i="6"/>
  <c r="G331" i="6"/>
  <c r="G111" i="6"/>
  <c r="G62" i="6"/>
  <c r="G231" i="6"/>
  <c r="G63" i="6"/>
  <c r="G171" i="6"/>
  <c r="G225" i="6"/>
  <c r="G304" i="6"/>
  <c r="G99" i="6"/>
  <c r="G219" i="6"/>
  <c r="G238" i="6"/>
  <c r="G201" i="6"/>
  <c r="G104" i="6"/>
  <c r="G274" i="6"/>
  <c r="G292" i="6"/>
  <c r="G249" i="6"/>
  <c r="G297" i="6"/>
  <c r="G226" i="6"/>
  <c r="G150" i="6"/>
  <c r="G128" i="6"/>
  <c r="G243" i="6"/>
  <c r="G208" i="6"/>
  <c r="G116" i="6"/>
  <c r="G286" i="6"/>
  <c r="G303" i="6"/>
  <c r="G138" i="6"/>
  <c r="G38" i="6"/>
  <c r="G86" i="6"/>
  <c r="G261" i="6"/>
  <c r="G232" i="6"/>
  <c r="G98" i="6"/>
  <c r="G122" i="6"/>
  <c r="G57" i="6"/>
  <c r="G237" i="6"/>
  <c r="G267" i="6"/>
  <c r="G81" i="6"/>
  <c r="G69" i="6"/>
  <c r="G176" i="6"/>
  <c r="G165" i="6"/>
  <c r="G194" i="6"/>
  <c r="G170" i="6"/>
  <c r="G117" i="6"/>
  <c r="G244" i="6"/>
  <c r="G183" i="6"/>
  <c r="G93" i="6"/>
  <c r="G92" i="6"/>
  <c r="G2" i="6"/>
  <c r="G177" i="6"/>
  <c r="G257" i="6"/>
  <c r="G82" i="6"/>
  <c r="G264" i="6"/>
  <c r="G118" i="6"/>
  <c r="G53" i="6"/>
  <c r="G162" i="6"/>
  <c r="G83" i="6"/>
  <c r="G71" i="6"/>
  <c r="G10" i="6"/>
  <c r="G178" i="6"/>
  <c r="G124" i="6"/>
  <c r="G269" i="6"/>
  <c r="G270" i="6"/>
  <c r="G140" i="6"/>
  <c r="G11" i="6"/>
  <c r="G70" i="6"/>
  <c r="G52" i="6"/>
  <c r="G294" i="6"/>
  <c r="G166" i="6"/>
  <c r="G76" i="6"/>
  <c r="G159" i="6"/>
  <c r="G88" i="6"/>
  <c r="G221" i="6"/>
  <c r="G216" i="6"/>
  <c r="G300" i="6"/>
  <c r="G185" i="6"/>
  <c r="G125" i="6"/>
  <c r="G222" i="6"/>
  <c r="G119" i="6"/>
  <c r="G47" i="6"/>
  <c r="G77" i="6"/>
  <c r="G17" i="6"/>
  <c r="G156" i="6"/>
  <c r="G190" i="6"/>
  <c r="G5" i="6"/>
  <c r="G173" i="6"/>
  <c r="G65" i="6"/>
  <c r="G252" i="6"/>
  <c r="G146" i="6"/>
  <c r="G64" i="6"/>
  <c r="G145" i="6"/>
  <c r="G326" i="6"/>
  <c r="G197" i="6"/>
  <c r="G327" i="6"/>
  <c r="G41" i="6"/>
  <c r="G239" i="6"/>
  <c r="G246" i="6"/>
  <c r="G89" i="6"/>
  <c r="G234" i="6"/>
  <c r="G263" i="6"/>
  <c r="G233" i="6"/>
  <c r="G4" i="6"/>
  <c r="G139" i="6"/>
  <c r="G151" i="6"/>
  <c r="G281" i="6"/>
  <c r="G152" i="6"/>
  <c r="G275" i="6"/>
  <c r="G16" i="6"/>
  <c r="G46" i="6"/>
  <c r="G40" i="6"/>
  <c r="G58" i="6"/>
  <c r="G305" i="6"/>
  <c r="G129" i="6"/>
  <c r="G179" i="6"/>
  <c r="G135" i="6"/>
  <c r="G240" i="6"/>
  <c r="G321" i="6"/>
  <c r="G215" i="6"/>
  <c r="G293" i="6"/>
  <c r="G172" i="6"/>
  <c r="G196" i="6"/>
  <c r="G106" i="6"/>
  <c r="G100" i="6"/>
  <c r="G320" i="6"/>
  <c r="G107" i="6"/>
  <c r="G227" i="6"/>
  <c r="G288" i="6"/>
  <c r="G332" i="6"/>
  <c r="G112" i="6"/>
  <c r="G101" i="6"/>
  <c r="G94" i="6"/>
  <c r="G299" i="6"/>
  <c r="G258" i="6"/>
  <c r="G59" i="6"/>
  <c r="G282" i="6"/>
  <c r="G209" i="6"/>
  <c r="G333" i="6"/>
  <c r="G306" i="6"/>
  <c r="G210" i="6"/>
  <c r="G191" i="6"/>
  <c r="G276" i="6"/>
  <c r="G95" i="6"/>
  <c r="G204" i="6"/>
  <c r="G251" i="6"/>
  <c r="G167" i="6"/>
  <c r="G245" i="6"/>
  <c r="G203" i="6"/>
  <c r="G132" i="6"/>
  <c r="G228" i="6"/>
  <c r="G113" i="6"/>
  <c r="G287" i="6"/>
  <c r="G84" i="6"/>
  <c r="G168" i="6"/>
  <c r="G186" i="6"/>
  <c r="G334" i="6"/>
  <c r="G133" i="6"/>
  <c r="G174" i="6"/>
  <c r="G147" i="6"/>
  <c r="G130" i="6"/>
  <c r="G6" i="6"/>
  <c r="G141" i="6"/>
  <c r="G66" i="6"/>
  <c r="G12" i="6"/>
  <c r="G153" i="6"/>
  <c r="G136" i="6"/>
  <c r="G277" i="6"/>
  <c r="G211" i="6"/>
  <c r="G205" i="6"/>
  <c r="G72" i="6"/>
  <c r="G235" i="6"/>
  <c r="G271" i="6"/>
  <c r="G322" i="6"/>
  <c r="G253" i="6"/>
  <c r="G126" i="6"/>
  <c r="G301" i="6"/>
  <c r="G328" i="6"/>
  <c r="G60" i="6"/>
  <c r="G48" i="6"/>
  <c r="G42" i="6"/>
  <c r="G108" i="6"/>
  <c r="G198" i="6"/>
  <c r="G54" i="6"/>
  <c r="G247" i="6"/>
  <c r="G229" i="6"/>
  <c r="G96" i="6"/>
  <c r="G307" i="6"/>
  <c r="G223" i="6"/>
  <c r="G265" i="6"/>
  <c r="G90" i="6"/>
  <c r="G102" i="6"/>
  <c r="G18" i="6"/>
  <c r="G295" i="6"/>
  <c r="G241" i="6"/>
  <c r="G192" i="6"/>
  <c r="G259" i="6"/>
  <c r="G120" i="6"/>
  <c r="G78" i="6"/>
  <c r="G289" i="6"/>
  <c r="G180" i="6"/>
  <c r="G283" i="6"/>
  <c r="G114" i="6"/>
  <c r="G217" i="6"/>
  <c r="G61" i="6"/>
  <c r="G329" i="6"/>
  <c r="G248" i="6"/>
  <c r="G55" i="6"/>
  <c r="G115" i="6"/>
  <c r="G154" i="6"/>
  <c r="G175" i="6"/>
  <c r="G236" i="6"/>
  <c r="G169" i="6"/>
  <c r="G260" i="6"/>
  <c r="M27" i="2" s="1"/>
  <c r="O27" i="2" s="1"/>
  <c r="G242" i="6"/>
  <c r="G97" i="6"/>
  <c r="G290" i="6"/>
  <c r="G230" i="6"/>
  <c r="G148" i="6"/>
  <c r="G187" i="6"/>
  <c r="G127" i="6"/>
  <c r="G206" i="6"/>
  <c r="G7" i="6"/>
  <c r="G193" i="6"/>
  <c r="G67" i="6"/>
  <c r="G19" i="6"/>
  <c r="G308" i="6"/>
  <c r="G142" i="6"/>
  <c r="G272" i="6"/>
  <c r="G266" i="6"/>
  <c r="G254" i="6"/>
  <c r="G73" i="6"/>
  <c r="G79" i="6"/>
  <c r="G121" i="6"/>
  <c r="G335" i="6"/>
  <c r="G109" i="6"/>
  <c r="G85" i="6"/>
  <c r="G212" i="6"/>
  <c r="G43" i="6"/>
  <c r="G323" i="6"/>
  <c r="G157" i="6"/>
  <c r="G103" i="6"/>
  <c r="G284" i="6"/>
  <c r="G199" i="6"/>
  <c r="G181" i="6"/>
  <c r="G49" i="6"/>
  <c r="G13" i="6"/>
  <c r="G302" i="6"/>
  <c r="G218" i="6"/>
  <c r="G224" i="6"/>
  <c r="G278" i="6"/>
  <c r="G160" i="6"/>
  <c r="G296" i="6"/>
  <c r="G163" i="6"/>
  <c r="G91" i="6"/>
  <c r="M12" i="2" l="1"/>
  <c r="N12" i="2" s="1"/>
  <c r="M15" i="2"/>
  <c r="M24" i="2"/>
  <c r="O24" i="2" s="1"/>
  <c r="M18" i="2"/>
  <c r="O18" i="2" s="1"/>
  <c r="N25" i="2"/>
  <c r="P25" i="2" s="1"/>
  <c r="M14" i="2"/>
  <c r="M21" i="2"/>
  <c r="N21" i="2" s="1"/>
  <c r="M19" i="2"/>
  <c r="O19" i="2" s="1"/>
  <c r="M26" i="2"/>
  <c r="N27" i="2"/>
  <c r="P27" i="2" s="1"/>
  <c r="M25" i="2"/>
  <c r="O25" i="2" s="1"/>
  <c r="P14" i="2"/>
  <c r="O14" i="2"/>
  <c r="N14" i="2"/>
  <c r="M17" i="2"/>
  <c r="M11" i="2"/>
  <c r="O11" i="2" s="1"/>
  <c r="Q11" i="2" s="1"/>
  <c r="M20" i="2"/>
  <c r="M16" i="2"/>
  <c r="M23" i="2"/>
  <c r="O23" i="2" s="1"/>
  <c r="Q23" i="2" s="1"/>
  <c r="M10" i="2"/>
  <c r="M13" i="2"/>
  <c r="O13" i="2" s="1"/>
  <c r="Q13" i="2" s="1"/>
  <c r="N28" i="2"/>
  <c r="N18" i="2" l="1"/>
  <c r="P18" i="2" s="1"/>
  <c r="N19" i="2"/>
  <c r="P19" i="2" s="1"/>
  <c r="Q27" i="2"/>
  <c r="Q19" i="2"/>
  <c r="S19" i="2" s="1"/>
  <c r="Q18" i="2"/>
  <c r="N17" i="2"/>
  <c r="N24" i="2"/>
  <c r="P24" i="2" s="1"/>
  <c r="O26" i="2"/>
  <c r="Q26" i="2" s="1"/>
  <c r="S26" i="2" s="1"/>
  <c r="Q22" i="2"/>
  <c r="S22" i="2" s="1"/>
  <c r="N20" i="2"/>
  <c r="N15" i="2"/>
  <c r="O12" i="2"/>
  <c r="Q12" i="2" s="1"/>
  <c r="O21" i="2"/>
  <c r="Q21" i="2" s="1"/>
  <c r="S21" i="2" s="1"/>
  <c r="O10" i="2"/>
  <c r="Q10" i="2" s="1"/>
  <c r="S10" i="2" s="1"/>
  <c r="P28" i="2"/>
  <c r="R28" i="2" s="1"/>
  <c r="Q14" i="2"/>
  <c r="O20" i="2"/>
  <c r="O16" i="2"/>
  <c r="Q16" i="2" s="1"/>
  <c r="O15" i="2"/>
  <c r="N22" i="2"/>
  <c r="P22" i="2" s="1"/>
  <c r="N16" i="2"/>
  <c r="O17" i="2"/>
  <c r="S11" i="2"/>
  <c r="N11" i="2"/>
  <c r="N13" i="2"/>
  <c r="S13" i="2"/>
  <c r="O28" i="2"/>
  <c r="N26" i="2"/>
  <c r="Q25" i="2"/>
  <c r="N23" i="2"/>
  <c r="S23" i="2"/>
  <c r="R27" i="2" l="1"/>
  <c r="R24" i="2"/>
  <c r="R22" i="2"/>
  <c r="P20" i="2"/>
  <c r="R20" i="2" s="1"/>
  <c r="P17" i="2"/>
  <c r="R17" i="2" s="1"/>
  <c r="P15" i="2"/>
  <c r="R14" i="2"/>
  <c r="P26" i="2"/>
  <c r="R26" i="2" s="1"/>
  <c r="S14" i="2"/>
  <c r="S12" i="2"/>
  <c r="S25" i="2"/>
  <c r="S18" i="2"/>
  <c r="Q28" i="2"/>
  <c r="S28" i="2" s="1"/>
  <c r="Q15" i="2"/>
  <c r="S15" i="2" s="1"/>
  <c r="S16" i="2"/>
  <c r="Q20" i="2"/>
  <c r="S20" i="2" s="1"/>
  <c r="Q17" i="2"/>
  <c r="S17" i="2" s="1"/>
  <c r="S27" i="2"/>
  <c r="T28" i="2"/>
  <c r="R18" i="2"/>
  <c r="P11" i="2"/>
  <c r="R11" i="2" s="1"/>
  <c r="R19" i="2"/>
  <c r="P12" i="2"/>
  <c r="R12" i="2" s="1"/>
  <c r="R25" i="2"/>
  <c r="P23" i="2"/>
  <c r="R23" i="2" s="1"/>
  <c r="P21" i="2"/>
  <c r="R21" i="2" s="1"/>
  <c r="P16" i="2"/>
  <c r="R16" i="2" s="1"/>
  <c r="P13" i="2"/>
  <c r="R13" i="2" s="1"/>
  <c r="T14" i="2" l="1"/>
  <c r="T17" i="2"/>
  <c r="T20" i="2"/>
  <c r="T27" i="2"/>
  <c r="R15" i="2"/>
  <c r="T13" i="2"/>
  <c r="T23" i="2"/>
  <c r="T16" i="2"/>
  <c r="T18" i="2"/>
  <c r="T19" i="2"/>
  <c r="T22" i="2"/>
  <c r="T25" i="2"/>
  <c r="T12" i="2"/>
  <c r="T21" i="2"/>
  <c r="T11" i="2"/>
  <c r="T26" i="2"/>
  <c r="T15" i="2" l="1"/>
  <c r="Q24" i="2"/>
  <c r="S24" i="2" s="1"/>
  <c r="T24" i="2"/>
  <c r="N10" i="2" l="1"/>
  <c r="P10" i="2" l="1"/>
  <c r="R10" i="2" s="1"/>
  <c r="T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HYEUNGHOON KIM</author>
  </authors>
  <commentList>
    <comment ref="S2" authorId="0" shapeId="0" xr:uid="{CC3E27DF-FCAB-4491-B077-E7DA89F1CD56}">
      <text>
        <r>
          <rPr>
            <b/>
            <sz val="9"/>
            <color indexed="81"/>
            <rFont val="돋움"/>
            <family val="3"/>
            <charset val="129"/>
          </rPr>
          <t>방어력으로 감소되고 들어가는 피해</t>
        </r>
      </text>
    </comment>
    <comment ref="E3" authorId="0" shapeId="0" xr:uid="{AA2C0DA7-A834-4EC2-8433-D942335AC06C}">
      <text>
        <r>
          <rPr>
            <b/>
            <sz val="9"/>
            <color indexed="81"/>
            <rFont val="돋움"/>
            <family val="3"/>
            <charset val="129"/>
          </rPr>
          <t>버프포함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공격력</t>
        </r>
      </text>
    </comment>
    <comment ref="H3" authorId="0" shapeId="0" xr:uid="{C81EA7CF-DB30-4B04-ADE8-E110AAF88885}">
      <text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적중률</t>
        </r>
      </text>
    </comment>
    <comment ref="K3" authorId="0" shapeId="0" xr:uid="{78E8C777-C291-49EA-97D5-55D5A572B9E0}">
      <text>
        <r>
          <rPr>
            <b/>
            <sz val="9"/>
            <color indexed="81"/>
            <rFont val="돋움"/>
            <family val="3"/>
            <charset val="129"/>
          </rPr>
          <t>오의뎀지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</text>
    </comment>
    <comment ref="M3" authorId="0" shapeId="0" xr:uid="{7FA3F2C1-CAC3-4D44-B4A2-6A0FA834EF65}">
      <text>
        <r>
          <rPr>
            <b/>
            <sz val="9"/>
            <color indexed="81"/>
            <rFont val="돋움"/>
            <family val="3"/>
            <charset val="129"/>
          </rPr>
          <t>쿨감</t>
        </r>
      </text>
    </comment>
    <comment ref="H4" authorId="0" shapeId="0" xr:uid="{C76463EE-1021-440C-9889-D009716496F2}">
      <text>
        <r>
          <rPr>
            <b/>
            <sz val="9"/>
            <color indexed="81"/>
            <rFont val="돋움"/>
            <family val="3"/>
            <charset val="129"/>
          </rPr>
          <t>후면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크리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예측치</t>
        </r>
      </text>
    </comment>
    <comment ref="K4" authorId="0" shapeId="0" xr:uid="{187AC40A-B159-41E5-96B4-03C60A5A0F32}">
      <text>
        <r>
          <rPr>
            <b/>
            <sz val="9"/>
            <color indexed="81"/>
            <rFont val="돋움"/>
            <family val="3"/>
            <charset val="129"/>
          </rPr>
          <t>각성기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뎀증</t>
        </r>
      </text>
    </comment>
    <comment ref="M4" authorId="0" shapeId="0" xr:uid="{5D687150-1DAC-4CC5-BB9D-FD98C12008F6}">
      <text>
        <r>
          <rPr>
            <b/>
            <sz val="9"/>
            <color indexed="81"/>
            <rFont val="돋움"/>
            <family val="3"/>
            <charset val="129"/>
          </rPr>
          <t>공속</t>
        </r>
      </text>
    </comment>
    <comment ref="H5" authorId="0" shapeId="0" xr:uid="{570C921A-24F8-4C3C-BEC5-FDDF833287A3}">
      <text>
        <r>
          <rPr>
            <b/>
            <sz val="9"/>
            <color indexed="81"/>
            <rFont val="돋움"/>
            <family val="3"/>
            <charset val="129"/>
          </rPr>
          <t>인벤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리포터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실험결과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  <comment ref="K5" authorId="0" shapeId="0" xr:uid="{ED5DDA9E-654D-4E0C-8243-607708C07BD0}">
      <text>
        <r>
          <rPr>
            <b/>
            <sz val="9"/>
            <color indexed="81"/>
            <rFont val="돋움"/>
            <family val="3"/>
            <charset val="129"/>
          </rPr>
          <t>버블수급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HYEUNGHOON KIM</author>
  </authors>
  <commentList>
    <comment ref="D14" authorId="0" shapeId="0" xr:uid="{4F7A30B1-7114-4F14-A5BB-F483BFF5B545}">
      <text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타수는</t>
        </r>
        <r>
          <rPr>
            <b/>
            <sz val="9"/>
            <color indexed="81"/>
            <rFont val="Tahoma"/>
            <family val="2"/>
          </rPr>
          <t xml:space="preserve"> 8</t>
        </r>
        <r>
          <rPr>
            <b/>
            <sz val="9"/>
            <color indexed="81"/>
            <rFont val="돋움"/>
            <family val="3"/>
            <charset val="129"/>
          </rPr>
          <t>회</t>
        </r>
      </text>
    </comment>
    <comment ref="D21" authorId="0" shapeId="0" xr:uid="{78BE4196-425D-4675-9D81-A1F579B8F136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트포보고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곱함</t>
        </r>
      </text>
    </comment>
    <comment ref="D25" authorId="0" shapeId="0" xr:uid="{5D3349DC-40C2-424B-8F1D-C97A0A0B22DF}">
      <text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타수는</t>
        </r>
        <r>
          <rPr>
            <b/>
            <sz val="9"/>
            <color indexed="81"/>
            <rFont val="Tahoma"/>
            <family val="2"/>
          </rPr>
          <t xml:space="preserve"> 22</t>
        </r>
        <r>
          <rPr>
            <b/>
            <sz val="9"/>
            <color indexed="81"/>
            <rFont val="돋움"/>
            <family val="3"/>
            <charset val="129"/>
          </rPr>
          <t>회
극강찍으면</t>
        </r>
        <r>
          <rPr>
            <b/>
            <sz val="9"/>
            <color indexed="81"/>
            <rFont val="Tahoma"/>
            <family val="2"/>
          </rPr>
          <t xml:space="preserve"> +4x2</t>
        </r>
        <r>
          <rPr>
            <b/>
            <sz val="9"/>
            <color indexed="81"/>
            <rFont val="돋움"/>
            <family val="3"/>
            <charset val="129"/>
          </rPr>
          <t>회</t>
        </r>
      </text>
    </comment>
    <comment ref="D26" authorId="0" shapeId="0" xr:uid="{358CEE6D-808F-44CC-932A-DAB7BFF6FDB4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트포보고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곱함</t>
        </r>
      </text>
    </comment>
    <comment ref="D27" authorId="0" shapeId="0" xr:uid="{3540D9CA-51C1-4690-8539-584A27068508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트포보고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곱함</t>
        </r>
      </text>
    </comment>
    <comment ref="D35" authorId="0" shapeId="0" xr:uid="{A47452EC-E465-4026-A598-0A350E97C407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트포보고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곱함</t>
        </r>
      </text>
    </comment>
    <comment ref="D51" authorId="0" shapeId="0" xr:uid="{C47162C7-76D4-4108-B690-60E5362240C7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트포보고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곱함</t>
        </r>
      </text>
    </comment>
    <comment ref="L51" authorId="0" shapeId="0" xr:uid="{D2A2E954-8286-4CAF-B3CD-13039D189139}">
      <text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</text>
    </comment>
  </commentList>
</comments>
</file>

<file path=xl/sharedStrings.xml><?xml version="1.0" encoding="utf-8"?>
<sst xmlns="http://schemas.openxmlformats.org/spreadsheetml/2006/main" count="1245" uniqueCount="297">
  <si>
    <t>스킬명</t>
    <phoneticPr fontId="1" type="noConversion"/>
  </si>
  <si>
    <t>-</t>
    <phoneticPr fontId="1" type="noConversion"/>
  </si>
  <si>
    <t>일순</t>
    <phoneticPr fontId="1" type="noConversion"/>
  </si>
  <si>
    <t>섬열</t>
  </si>
  <si>
    <t>월섬</t>
  </si>
  <si>
    <t>바속</t>
  </si>
  <si>
    <t>화조</t>
  </si>
  <si>
    <t>용포</t>
  </si>
  <si>
    <t>방천</t>
  </si>
  <si>
    <t>나선</t>
  </si>
  <si>
    <t>화룡</t>
  </si>
  <si>
    <t>뇌진</t>
  </si>
  <si>
    <t>풍신</t>
  </si>
  <si>
    <t>폭쇄</t>
  </si>
  <si>
    <t>트포</t>
    <phoneticPr fontId="1" type="noConversion"/>
  </si>
  <si>
    <t>LV</t>
    <phoneticPr fontId="1" type="noConversion"/>
  </si>
  <si>
    <t>쿨</t>
    <phoneticPr fontId="1" type="noConversion"/>
  </si>
  <si>
    <t>쿨감</t>
    <phoneticPr fontId="1" type="noConversion"/>
  </si>
  <si>
    <t>뎀증</t>
    <phoneticPr fontId="1" type="noConversion"/>
  </si>
  <si>
    <t>공격력</t>
    <phoneticPr fontId="1" type="noConversion"/>
  </si>
  <si>
    <t>특화</t>
    <phoneticPr fontId="1" type="noConversion"/>
  </si>
  <si>
    <t>치명</t>
    <phoneticPr fontId="1" type="noConversion"/>
  </si>
  <si>
    <t>신속</t>
    <phoneticPr fontId="1" type="noConversion"/>
  </si>
  <si>
    <t>삼연</t>
  </si>
  <si>
    <t>붕천</t>
  </si>
  <si>
    <t>뇌명</t>
  </si>
  <si>
    <t>지뢰</t>
  </si>
  <si>
    <t>초풍</t>
  </si>
  <si>
    <t>내연</t>
  </si>
  <si>
    <t>스킬</t>
    <phoneticPr fontId="1" type="noConversion"/>
  </si>
  <si>
    <t>단계</t>
    <phoneticPr fontId="1" type="noConversion"/>
  </si>
  <si>
    <t>잠룡</t>
  </si>
  <si>
    <t>낙하완료</t>
    <phoneticPr fontId="1" type="noConversion"/>
  </si>
  <si>
    <t>부가효과</t>
    <phoneticPr fontId="1" type="noConversion"/>
  </si>
  <si>
    <t>버블수급 100%증가</t>
    <phoneticPr fontId="1" type="noConversion"/>
  </si>
  <si>
    <t>피해감소 40%</t>
    <phoneticPr fontId="1" type="noConversion"/>
  </si>
  <si>
    <t>타격 회수당 15%씩 피해증가</t>
    <phoneticPr fontId="1" type="noConversion"/>
  </si>
  <si>
    <t>5회 공격</t>
    <phoneticPr fontId="1" type="noConversion"/>
  </si>
  <si>
    <t>공속 20% 증가</t>
    <phoneticPr fontId="1" type="noConversion"/>
  </si>
  <si>
    <t>공속 20% 증가 막타만 50%뎀증</t>
    <phoneticPr fontId="1" type="noConversion"/>
  </si>
  <si>
    <t>2타 피격 체공시간 증가</t>
    <phoneticPr fontId="1" type="noConversion"/>
  </si>
  <si>
    <t>공격범위 20% 증가</t>
    <phoneticPr fontId="1" type="noConversion"/>
  </si>
  <si>
    <t>2타 적중시 뎀증 15% 3초</t>
    <phoneticPr fontId="1" type="noConversion"/>
  </si>
  <si>
    <t>버블수급 200%증가</t>
    <phoneticPr fontId="1" type="noConversion"/>
  </si>
  <si>
    <t>방향전환+이동거리 2m증가</t>
    <phoneticPr fontId="1" type="noConversion"/>
  </si>
  <si>
    <t>막타 버블수급 30%증가</t>
    <phoneticPr fontId="1" type="noConversion"/>
  </si>
  <si>
    <t>공격범위 30%증가</t>
    <phoneticPr fontId="1" type="noConversion"/>
  </si>
  <si>
    <t>시전중에 회피 20%증가</t>
    <phoneticPr fontId="1" type="noConversion"/>
  </si>
  <si>
    <t>버블수급 50%증가</t>
    <phoneticPr fontId="1" type="noConversion"/>
  </si>
  <si>
    <t>첫타 이동거리 3m증가, 쿨 3초 감소</t>
    <phoneticPr fontId="1" type="noConversion"/>
  </si>
  <si>
    <t>공격범위 30%증가, 발차기2의 타수 두배</t>
    <phoneticPr fontId="1" type="noConversion"/>
  </si>
  <si>
    <t>일반스킬로 변경, 막타 피해 250%증가, 피해증가량 200%인것으로 추정됨</t>
    <phoneticPr fontId="1" type="noConversion"/>
  </si>
  <si>
    <t>첫타에 적 넘어뜨림</t>
    <phoneticPr fontId="1" type="noConversion"/>
  </si>
  <si>
    <t>폭발회수 3회 감소</t>
    <phoneticPr fontId="1" type="noConversion"/>
  </si>
  <si>
    <t>폭발회수 2회 증가</t>
    <phoneticPr fontId="1" type="noConversion"/>
  </si>
  <si>
    <t>폭발회수 1회 증가, 지속시간1초 증가</t>
    <phoneticPr fontId="1" type="noConversion"/>
  </si>
  <si>
    <t>공속, 공격범위 10%증가</t>
    <phoneticPr fontId="1" type="noConversion"/>
  </si>
  <si>
    <t>올려차기 공격범위 20%증가</t>
    <phoneticPr fontId="1" type="noConversion"/>
  </si>
  <si>
    <t>치명타 적중룔 15%증가</t>
    <phoneticPr fontId="1" type="noConversion"/>
  </si>
  <si>
    <t>쿨 4초 감소</t>
    <phoneticPr fontId="1" type="noConversion"/>
  </si>
  <si>
    <t>돌진피해 100%증가</t>
    <phoneticPr fontId="1" type="noConversion"/>
  </si>
  <si>
    <t>막타 적중시 공격력 20%증가 3초</t>
    <phoneticPr fontId="1" type="noConversion"/>
  </si>
  <si>
    <t>수속성, 막타뎀증 50% + 적 띄움</t>
    <phoneticPr fontId="1" type="noConversion"/>
  </si>
  <si>
    <t>암속성, 방깍 10% 3초</t>
    <phoneticPr fontId="1" type="noConversion"/>
  </si>
  <si>
    <t>수속성, 2타 적중시 동결, 쿨 6초 증가</t>
    <phoneticPr fontId="1" type="noConversion"/>
  </si>
  <si>
    <t>성속성, 공속 30%증가 3초</t>
    <phoneticPr fontId="1" type="noConversion"/>
  </si>
  <si>
    <t>암속성, 치깎 15% 3초</t>
    <phoneticPr fontId="1" type="noConversion"/>
  </si>
  <si>
    <t>뇌속성, 치명타 적중룔 15%증가</t>
    <phoneticPr fontId="1" type="noConversion"/>
  </si>
  <si>
    <t>수속성, 적 공이속 20%감소 3초</t>
    <phoneticPr fontId="1" type="noConversion"/>
  </si>
  <si>
    <t>쿨 5초감소</t>
    <phoneticPr fontId="1" type="noConversion"/>
  </si>
  <si>
    <t>공속 20%증가</t>
    <phoneticPr fontId="1" type="noConversion"/>
  </si>
  <si>
    <t>공격형태 변경</t>
    <phoneticPr fontId="1" type="noConversion"/>
  </si>
  <si>
    <t>공격범위 20%증가</t>
    <phoneticPr fontId="1" type="noConversion"/>
  </si>
  <si>
    <t>적을 띄움</t>
    <phoneticPr fontId="1" type="noConversion"/>
  </si>
  <si>
    <t>동결 2초</t>
    <phoneticPr fontId="1" type="noConversion"/>
  </si>
  <si>
    <t>공속 20%증가, 이동거리 5m증가</t>
    <phoneticPr fontId="1" type="noConversion"/>
  </si>
  <si>
    <t>마나소모 50%감소</t>
    <phoneticPr fontId="1" type="noConversion"/>
  </si>
  <si>
    <t>버블수급 25%증가</t>
    <phoneticPr fontId="1" type="noConversion"/>
  </si>
  <si>
    <t>차지방식으로 변경. 차지 완료시 최대뎀</t>
    <phoneticPr fontId="1" type="noConversion"/>
  </si>
  <si>
    <t>맞은 적 이속 감소 30%</t>
    <phoneticPr fontId="1" type="noConversion"/>
  </si>
  <si>
    <t>지속시간 2초증가</t>
    <phoneticPr fontId="1" type="noConversion"/>
  </si>
  <si>
    <t>용포가 치명타로 적중시 치깍 15%증가</t>
    <phoneticPr fontId="1" type="noConversion"/>
  </si>
  <si>
    <t>쿨 5초 감소</t>
    <phoneticPr fontId="1" type="noConversion"/>
  </si>
  <si>
    <t>1타에 적을 넘어뜨리지 않고 경직+밀어냄</t>
    <phoneticPr fontId="1" type="noConversion"/>
  </si>
  <si>
    <t>공격범위, 공속 20%증가</t>
    <phoneticPr fontId="1" type="noConversion"/>
  </si>
  <si>
    <t>암속성, 방깍 30% 5초</t>
    <phoneticPr fontId="1" type="noConversion"/>
  </si>
  <si>
    <t>공격형태 변경. 시전시간동안 받는피해 30%증가</t>
    <phoneticPr fontId="1" type="noConversion"/>
  </si>
  <si>
    <t>공격형태 변경. 이동거리 대폭증가</t>
    <phoneticPr fontId="1" type="noConversion"/>
  </si>
  <si>
    <t>발차기1의 타격수 1증가(3-&gt;4) 따라서 시전시간도 증가</t>
    <phoneticPr fontId="1" type="noConversion"/>
  </si>
  <si>
    <t>쿨 6초 증가. 2회 연속으로 쓸 수 있음</t>
    <phoneticPr fontId="1" type="noConversion"/>
  </si>
  <si>
    <t>내려찍는 발차기 추가</t>
    <phoneticPr fontId="1" type="noConversion"/>
  </si>
  <si>
    <t>받는피해 10%감소</t>
    <phoneticPr fontId="1" type="noConversion"/>
  </si>
  <si>
    <t>이속증가 30% 3초</t>
    <phoneticPr fontId="1" type="noConversion"/>
  </si>
  <si>
    <t>지속시간 8초 증가</t>
    <phoneticPr fontId="1" type="noConversion"/>
  </si>
  <si>
    <t>쿨 15초 감소, 지속시간 4초감소</t>
    <phoneticPr fontId="1" type="noConversion"/>
  </si>
  <si>
    <t>내연끝날때 폭발피해주며 적을 날림</t>
    <phoneticPr fontId="1" type="noConversion"/>
  </si>
  <si>
    <t>적 빨아댕김</t>
    <phoneticPr fontId="1" type="noConversion"/>
  </si>
  <si>
    <t>30%로 버블획득</t>
    <phoneticPr fontId="1" type="noConversion"/>
  </si>
  <si>
    <t>적중시 5초간 공격력 30%증가</t>
    <phoneticPr fontId="1" type="noConversion"/>
  </si>
  <si>
    <t>공격력 증가</t>
    <phoneticPr fontId="1" type="noConversion"/>
  </si>
  <si>
    <t>치명 증가</t>
    <phoneticPr fontId="1" type="noConversion"/>
  </si>
  <si>
    <t>치명타 뎀증</t>
    <phoneticPr fontId="1" type="noConversion"/>
  </si>
  <si>
    <t>적을 날려보내지 않고 기절</t>
    <phoneticPr fontId="1" type="noConversion"/>
  </si>
  <si>
    <t>끌어당기는 범위 20%증가</t>
    <phoneticPr fontId="1" type="noConversion"/>
  </si>
  <si>
    <t>40%로 버블획득</t>
    <phoneticPr fontId="1" type="noConversion"/>
  </si>
  <si>
    <t>승천할때 피격면역</t>
    <phoneticPr fontId="1" type="noConversion"/>
  </si>
  <si>
    <t>화룡의 치명타 피해 100%증가(평타의 3배)</t>
    <phoneticPr fontId="1" type="noConversion"/>
  </si>
  <si>
    <t>막타는 반드시 치명타</t>
    <phoneticPr fontId="1" type="noConversion"/>
  </si>
  <si>
    <t>종류</t>
    <phoneticPr fontId="1" type="noConversion"/>
  </si>
  <si>
    <t>치명타 적중률 15%증가</t>
    <phoneticPr fontId="1" type="noConversion"/>
  </si>
  <si>
    <t>공격범위 30%증가</t>
    <phoneticPr fontId="1" type="noConversion"/>
  </si>
  <si>
    <t>공격범위 형태 변경</t>
    <phoneticPr fontId="1" type="noConversion"/>
  </si>
  <si>
    <t>발동시간, 시전시간 엄청나게 길어짐</t>
    <phoneticPr fontId="1" type="noConversion"/>
  </si>
  <si>
    <t>전진하며 피해</t>
    <phoneticPr fontId="1" type="noConversion"/>
  </si>
  <si>
    <t>버블소모 1증가, 기절제거, 콤보스킬로 변경</t>
    <phoneticPr fontId="1" type="noConversion"/>
  </si>
  <si>
    <t>스킬</t>
  </si>
  <si>
    <t>단계</t>
  </si>
  <si>
    <t>주먹1</t>
  </si>
  <si>
    <t>주먹2</t>
  </si>
  <si>
    <t>주먹3</t>
  </si>
  <si>
    <t>T1.1</t>
    <phoneticPr fontId="1" type="noConversion"/>
  </si>
  <si>
    <t>T1.2</t>
    <phoneticPr fontId="1" type="noConversion"/>
  </si>
  <si>
    <t>T1.3</t>
    <phoneticPr fontId="1" type="noConversion"/>
  </si>
  <si>
    <t>T2.1</t>
    <phoneticPr fontId="1" type="noConversion"/>
  </si>
  <si>
    <t>T2.2</t>
    <phoneticPr fontId="1" type="noConversion"/>
  </si>
  <si>
    <t>T2.3</t>
    <phoneticPr fontId="1" type="noConversion"/>
  </si>
  <si>
    <t>T3.1</t>
    <phoneticPr fontId="1" type="noConversion"/>
  </si>
  <si>
    <t>T3.2</t>
    <phoneticPr fontId="1" type="noConversion"/>
  </si>
  <si>
    <t>B</t>
    <phoneticPr fontId="1" type="noConversion"/>
  </si>
  <si>
    <t>S</t>
    <phoneticPr fontId="1" type="noConversion"/>
  </si>
  <si>
    <t>Bk</t>
    <phoneticPr fontId="1" type="noConversion"/>
  </si>
  <si>
    <t>내연</t>
    <phoneticPr fontId="1" type="noConversion"/>
  </si>
  <si>
    <t>잠룡</t>
    <phoneticPr fontId="1" type="noConversion"/>
  </si>
  <si>
    <t>돌려차기</t>
  </si>
  <si>
    <t>올려차기</t>
  </si>
  <si>
    <t>발차기1</t>
  </si>
  <si>
    <t>발차기2</t>
  </si>
  <si>
    <t>연타</t>
  </si>
  <si>
    <t>마무리</t>
  </si>
  <si>
    <t>돌진</t>
  </si>
  <si>
    <t>1타</t>
  </si>
  <si>
    <t>붕천</t>
    <phoneticPr fontId="1" type="noConversion"/>
  </si>
  <si>
    <t>뇌명</t>
    <phoneticPr fontId="1" type="noConversion"/>
  </si>
  <si>
    <t>지뢰</t>
    <phoneticPr fontId="1" type="noConversion"/>
  </si>
  <si>
    <t>초풍</t>
    <phoneticPr fontId="1" type="noConversion"/>
  </si>
  <si>
    <t>Lv</t>
  </si>
  <si>
    <t>오연</t>
  </si>
  <si>
    <t>주먹4</t>
  </si>
  <si>
    <t>주먹5</t>
  </si>
  <si>
    <t>초강풍</t>
  </si>
  <si>
    <t>회전발차기</t>
  </si>
  <si>
    <t>지속시간 1초(4타) 증가, 이동성 개선</t>
    <phoneticPr fontId="1" type="noConversion"/>
  </si>
  <si>
    <t>기합</t>
  </si>
  <si>
    <t>하단쓸기</t>
  </si>
  <si>
    <t>돌려차기1</t>
  </si>
  <si>
    <t>돌려차기2</t>
  </si>
  <si>
    <t>내려찍기</t>
  </si>
  <si>
    <t>폭발</t>
  </si>
  <si>
    <t>돌풍</t>
  </si>
  <si>
    <t>후폭발</t>
  </si>
  <si>
    <t>일격</t>
  </si>
  <si>
    <t>화염</t>
  </si>
  <si>
    <t>공중1</t>
  </si>
  <si>
    <t>공중2</t>
  </si>
  <si>
    <t>공중3</t>
  </si>
  <si>
    <t>공중4</t>
  </si>
  <si>
    <t>공중5</t>
  </si>
  <si>
    <t>방출</t>
  </si>
  <si>
    <t>회오리</t>
  </si>
  <si>
    <t>폭발1</t>
  </si>
  <si>
    <t>폭발2</t>
  </si>
  <si>
    <t>폭발3</t>
  </si>
  <si>
    <t>폭발4</t>
  </si>
  <si>
    <t>치명</t>
    <phoneticPr fontId="1" type="noConversion"/>
  </si>
  <si>
    <t>D0</t>
    <phoneticPr fontId="1" type="noConversion"/>
  </si>
  <si>
    <t>D182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</si>
  <si>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</si>
  <si>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</si>
  <si>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</si>
  <si>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DMG</t>
    <phoneticPr fontId="1" type="noConversion"/>
  </si>
  <si>
    <t>비고1</t>
    <phoneticPr fontId="1" type="noConversion"/>
  </si>
  <si>
    <t>비고2</t>
    <phoneticPr fontId="1" type="noConversion"/>
  </si>
  <si>
    <t>비고3</t>
    <phoneticPr fontId="1" type="noConversion"/>
  </si>
  <si>
    <t>오연</t>
    <phoneticPr fontId="1" type="noConversion"/>
  </si>
  <si>
    <t>바속</t>
    <phoneticPr fontId="1" type="noConversion"/>
  </si>
  <si>
    <t>연소피해 5%씩 최대 50%까지 증가</t>
    <phoneticPr fontId="1" type="noConversion"/>
  </si>
  <si>
    <t>공격형태 변경. 2초 홀딩. 발차기2를 7x2회 타격.</t>
    <phoneticPr fontId="1" type="noConversion"/>
  </si>
  <si>
    <t>치명 30%(불확실)증가, 막타만 뎀증 50%</t>
    <phoneticPr fontId="1" type="noConversion"/>
  </si>
  <si>
    <t>Lv</t>
    <phoneticPr fontId="1" type="noConversion"/>
  </si>
  <si>
    <t>무력F</t>
    <phoneticPr fontId="1" type="noConversion"/>
  </si>
  <si>
    <t>체력 30%미만인 적에게 80%추가피해</t>
    <phoneticPr fontId="1" type="noConversion"/>
  </si>
  <si>
    <t>이속증가 10% 6초</t>
    <phoneticPr fontId="1" type="noConversion"/>
  </si>
  <si>
    <t>회피증가 15% 6초</t>
    <phoneticPr fontId="1" type="noConversion"/>
  </si>
  <si>
    <t>파티원 받는피해 30%감소 6초</t>
    <phoneticPr fontId="1" type="noConversion"/>
  </si>
  <si>
    <t>파티원 치명저항증가 25% 6초</t>
    <phoneticPr fontId="1" type="noConversion"/>
  </si>
  <si>
    <t>파티원 치명타 적중률 25%증가 6초</t>
    <phoneticPr fontId="1" type="noConversion"/>
  </si>
  <si>
    <t>지속시간 2배 증가</t>
    <phoneticPr fontId="1" type="noConversion"/>
  </si>
  <si>
    <t>쿨 10초 감소</t>
    <phoneticPr fontId="1" type="noConversion"/>
  </si>
  <si>
    <t>-</t>
    <phoneticPr fontId="1" type="noConversion"/>
  </si>
  <si>
    <t>토속성, 당기는효과 사라지고 시드이하 30% 추뎀</t>
    <phoneticPr fontId="1" type="noConversion"/>
  </si>
  <si>
    <t>수속성, 5회중첩시 2초간 동결</t>
    <phoneticPr fontId="1" type="noConversion"/>
  </si>
  <si>
    <t>뇌속성, 치명타피해 10%증가, 치명확률 30%증가 (불확실)</t>
    <phoneticPr fontId="1" type="noConversion"/>
  </si>
  <si>
    <t>매 틱마다 피해량이 5%씩 증가해 최대 60%까지 증가</t>
    <phoneticPr fontId="1" type="noConversion"/>
  </si>
  <si>
    <t>공격범위증가 30%</t>
    <phoneticPr fontId="1" type="noConversion"/>
  </si>
  <si>
    <t>일반스킬로 변경, 제자리에서 4초간 유지</t>
    <phoneticPr fontId="1" type="noConversion"/>
  </si>
  <si>
    <t>회오리 흩어질때 기본스킬 피해의 60% 피해</t>
    <phoneticPr fontId="1" type="noConversion"/>
  </si>
  <si>
    <t>수속성, 적중시 4초간 동결</t>
    <phoneticPr fontId="1" type="noConversion"/>
  </si>
  <si>
    <t>적중된 적의 수x3%만큼 공격력 증가. 최대 10중첩, 단일대상에게 중복적용</t>
    <phoneticPr fontId="1" type="noConversion"/>
  </si>
  <si>
    <t>세방향으로 범위 증가. 단일대상 중복 히트 불가</t>
    <phoneticPr fontId="1" type="noConversion"/>
  </si>
  <si>
    <t>난타</t>
    <phoneticPr fontId="1" type="noConversion"/>
  </si>
  <si>
    <t>피니쉬</t>
    <phoneticPr fontId="1" type="noConversion"/>
  </si>
  <si>
    <t>일순</t>
    <phoneticPr fontId="1" type="noConversion"/>
  </si>
  <si>
    <t>T</t>
    <phoneticPr fontId="1" type="noConversion"/>
  </si>
  <si>
    <t>공격형태 변경. 2.5초 홀딩. 데미지는 연타만 증가(총 80%는 맞음)</t>
    <phoneticPr fontId="1" type="noConversion"/>
  </si>
  <si>
    <t>4타후 마무리공격. 뎀증은 연타만(총 20%는 맞음)</t>
    <phoneticPr fontId="1" type="noConversion"/>
  </si>
  <si>
    <t>75%로 버블 획득</t>
    <phoneticPr fontId="1" type="noConversion"/>
  </si>
  <si>
    <t>비고</t>
    <phoneticPr fontId="1" type="noConversion"/>
  </si>
  <si>
    <t>치적</t>
    <phoneticPr fontId="1" type="noConversion"/>
  </si>
  <si>
    <t>오의뎀</t>
    <phoneticPr fontId="1" type="noConversion"/>
  </si>
  <si>
    <t>버프포함</t>
    <phoneticPr fontId="1" type="noConversion"/>
  </si>
  <si>
    <t>각성뎀</t>
    <phoneticPr fontId="1" type="noConversion"/>
  </si>
  <si>
    <t>버블</t>
    <phoneticPr fontId="1" type="noConversion"/>
  </si>
  <si>
    <t>쿨감</t>
    <phoneticPr fontId="1" type="noConversion"/>
  </si>
  <si>
    <t>스킬명</t>
    <phoneticPr fontId="1" type="noConversion"/>
  </si>
  <si>
    <t>이속 13% 증가, 지속 시간 1초(4틱) 증가</t>
    <phoneticPr fontId="1" type="noConversion"/>
  </si>
  <si>
    <t>버블수급</t>
    <phoneticPr fontId="1" type="noConversion"/>
  </si>
  <si>
    <t>버블</t>
    <phoneticPr fontId="1" type="noConversion"/>
  </si>
  <si>
    <t>시전시간</t>
    <phoneticPr fontId="1" type="noConversion"/>
  </si>
  <si>
    <t>시전시간</t>
    <phoneticPr fontId="1" type="noConversion"/>
  </si>
  <si>
    <t>적 방어력</t>
    <phoneticPr fontId="1" type="noConversion"/>
  </si>
  <si>
    <t>화룡</t>
    <phoneticPr fontId="1" type="noConversion"/>
  </si>
  <si>
    <t>화룡(H)</t>
    <phoneticPr fontId="1" type="noConversion"/>
  </si>
  <si>
    <t>장판생성 전류 피해 테스트 필요(풀히트시 기본피해의 40%로 추정)</t>
    <phoneticPr fontId="1" type="noConversion"/>
  </si>
  <si>
    <t>뇌속성, 첫타에 4초전격(기본딜의 15%추정, 단일타격 적용), 방향전환 가능</t>
    <phoneticPr fontId="1" type="noConversion"/>
  </si>
  <si>
    <t>화속성, 발차기 4회 적중시 화상 5초(기본딜의 24% 추정. 치명,단일타격 미적용)</t>
    <phoneticPr fontId="1" type="noConversion"/>
  </si>
  <si>
    <t>4초간 전격(기본데미지의 10%로 추정)</t>
    <phoneticPr fontId="1" type="noConversion"/>
  </si>
  <si>
    <t>연마효과</t>
    <phoneticPr fontId="1" type="noConversion"/>
  </si>
  <si>
    <t>1그룹</t>
    <phoneticPr fontId="1" type="noConversion"/>
  </si>
  <si>
    <t>2그룹</t>
    <phoneticPr fontId="1" type="noConversion"/>
  </si>
  <si>
    <t>무기</t>
    <phoneticPr fontId="1" type="noConversion"/>
  </si>
  <si>
    <t>피해F</t>
    <phoneticPr fontId="1" type="noConversion"/>
  </si>
  <si>
    <t>피해B</t>
    <phoneticPr fontId="1" type="noConversion"/>
  </si>
  <si>
    <t>크리피해F</t>
    <phoneticPr fontId="1" type="noConversion"/>
  </si>
  <si>
    <t>크리피해B</t>
    <phoneticPr fontId="1" type="noConversion"/>
  </si>
  <si>
    <t>기대피해F</t>
    <phoneticPr fontId="1" type="noConversion"/>
  </si>
  <si>
    <t>기대피해B</t>
    <phoneticPr fontId="1" type="noConversion"/>
  </si>
  <si>
    <t>DPS_F</t>
    <phoneticPr fontId="1" type="noConversion"/>
  </si>
  <si>
    <t>DPS_B</t>
    <phoneticPr fontId="1" type="noConversion"/>
  </si>
  <si>
    <t>무력화</t>
    <phoneticPr fontId="1" type="noConversion"/>
  </si>
  <si>
    <t>MPS</t>
    <phoneticPr fontId="1" type="noConversion"/>
  </si>
  <si>
    <t>풀홀딩 기준</t>
    <phoneticPr fontId="1" type="noConversion"/>
  </si>
  <si>
    <t>TBD</t>
  </si>
  <si>
    <t>-</t>
    <phoneticPr fontId="1" type="noConversion"/>
  </si>
  <si>
    <t>버블수급 50%증가(지속시간 변경트포 찍으면 작동안함)</t>
    <phoneticPr fontId="1" type="noConversion"/>
  </si>
  <si>
    <t>공격범위 20%증가, 내연의 치명타 피해 50%증가</t>
    <phoneticPr fontId="1" type="noConversion"/>
  </si>
  <si>
    <t>-</t>
    <phoneticPr fontId="1" type="noConversion"/>
  </si>
  <si>
    <t>화룡(H)</t>
  </si>
  <si>
    <t>화속성, 적중시마다 화상(갱신O 중첩X) 5초(틱당 초풍1타의 52.5%추정)</t>
    <phoneticPr fontId="1" type="noConversion"/>
  </si>
  <si>
    <t>공이속</t>
    <phoneticPr fontId="1" type="noConversion"/>
  </si>
  <si>
    <t>낙하시작</t>
    <phoneticPr fontId="1" type="noConversion"/>
  </si>
  <si>
    <t>화상 5초(기본 총데미지의 1/3추정)</t>
    <phoneticPr fontId="1" type="noConversion"/>
  </si>
  <si>
    <t>막타에 50%확률로 전격(총 기본피해의 18%추정)</t>
    <phoneticPr fontId="1" type="noConversion"/>
  </si>
  <si>
    <t>뇌속성, 막타적중시 50%확률로 전격 4초(기본데미지의 50% 추정)</t>
    <phoneticPr fontId="1" type="noConversion"/>
  </si>
  <si>
    <t>중첩당</t>
    <phoneticPr fontId="1" type="noConversion"/>
  </si>
  <si>
    <t>3중첩</t>
    <phoneticPr fontId="1" type="noConversion"/>
  </si>
  <si>
    <t>6중첩</t>
    <phoneticPr fontId="1" type="noConversion"/>
  </si>
  <si>
    <t>초심</t>
    <phoneticPr fontId="1" type="noConversion"/>
  </si>
  <si>
    <t>화속성, 적중시 화상. 최대 6중첩(중첩당 기본데미지의 10% 추정)</t>
    <phoneticPr fontId="1" type="noConversion"/>
  </si>
  <si>
    <t>방어무시 40%(계산미포함), 피격이상면역</t>
    <phoneticPr fontId="1" type="noConversion"/>
  </si>
  <si>
    <t>암속성, 방깍 10% 3초(계산미포함)</t>
    <phoneticPr fontId="1" type="noConversion"/>
  </si>
  <si>
    <t>시작</t>
    <phoneticPr fontId="1" type="noConversion"/>
  </si>
  <si>
    <t>끝</t>
    <phoneticPr fontId="1" type="noConversion"/>
  </si>
  <si>
    <t>돌진중 윈드밀 사용가능 + 넘어뜨림(시전시간 측정 부정확)</t>
    <phoneticPr fontId="1" type="noConversion"/>
  </si>
  <si>
    <t>공속 증가</t>
    <phoneticPr fontId="1" type="noConversion"/>
  </si>
  <si>
    <t>발동이 빠라진다(라고 적혀있지만 거의 차이없다)</t>
    <phoneticPr fontId="1" type="noConversion"/>
  </si>
  <si>
    <t>스탯</t>
    <phoneticPr fontId="1" type="noConversion"/>
  </si>
  <si>
    <t>버프</t>
    <phoneticPr fontId="1" type="noConversion"/>
  </si>
  <si>
    <t>공속 증가</t>
  </si>
  <si>
    <t>공격력 증가</t>
  </si>
  <si>
    <t>치명 증가</t>
  </si>
  <si>
    <t>치명타 뎀증</t>
  </si>
  <si>
    <t>기타</t>
    <phoneticPr fontId="1" type="noConversion"/>
  </si>
  <si>
    <t>연마</t>
    <phoneticPr fontId="1" type="noConversion"/>
  </si>
  <si>
    <t>뎀증1</t>
    <phoneticPr fontId="1" type="noConversion"/>
  </si>
  <si>
    <t>뎀증2</t>
    <phoneticPr fontId="1" type="noConversion"/>
  </si>
  <si>
    <t>쿨감1</t>
    <phoneticPr fontId="1" type="noConversion"/>
  </si>
  <si>
    <t>쿨감2</t>
    <phoneticPr fontId="1" type="noConversion"/>
  </si>
  <si>
    <t>-</t>
  </si>
  <si>
    <t>초심각인</t>
    <phoneticPr fontId="1" type="noConversion"/>
  </si>
  <si>
    <t>캐릭터 정보</t>
    <phoneticPr fontId="1" type="noConversion"/>
  </si>
  <si>
    <t>스킬 선택</t>
    <phoneticPr fontId="1" type="noConversion"/>
  </si>
  <si>
    <t>레벨</t>
    <phoneticPr fontId="1" type="noConversion"/>
  </si>
  <si>
    <t>피해량</t>
    <phoneticPr fontId="1" type="noConversion"/>
  </si>
  <si>
    <t>크리 피해량</t>
    <phoneticPr fontId="1" type="noConversion"/>
  </si>
  <si>
    <t>DPS</t>
    <phoneticPr fontId="1" type="noConversion"/>
  </si>
  <si>
    <t>백어택 무력</t>
    <phoneticPr fontId="1" type="noConversion"/>
  </si>
  <si>
    <t>백어택 크리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</si>
</sst>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0.0%"/>
    <numFmt numFmtId="178" formatCode="#&quot;타(419)&quot;"/>
    <numFmt numFmtId="179" formatCode="#,##0.0_ "/>
    <numFmt numFmtId="180" formatCode="#,##0.00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3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9" fontId="0" fillId="0" borderId="5" xfId="1" applyFont="1" applyBorder="1">
      <alignment vertical="center"/>
    </xf>
    <xf numFmtId="9" fontId="0" fillId="0" borderId="5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9" fontId="0" fillId="0" borderId="6" xfId="1" applyFont="1" applyBorder="1">
      <alignment vertical="center"/>
    </xf>
    <xf numFmtId="9" fontId="0" fillId="0" borderId="6" xfId="0" applyNumberFormat="1" applyBorder="1">
      <alignment vertical="center"/>
    </xf>
    <xf numFmtId="3" fontId="0" fillId="0" borderId="6" xfId="0" applyNumberFormat="1" applyBorder="1">
      <alignment vertical="center"/>
    </xf>
    <xf numFmtId="3" fontId="0" fillId="0" borderId="0" xfId="0" applyNumberFormat="1" applyBorder="1">
      <alignment vertical="center"/>
    </xf>
    <xf numFmtId="0" fontId="7" fillId="0" borderId="2" xfId="0" applyFont="1" applyBorder="1" applyAlignment="1">
      <alignment vertical="center" wrapText="1"/>
    </xf>
    <xf numFmtId="9" fontId="0" fillId="0" borderId="0" xfId="1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0" xfId="1" applyFont="1" applyBorder="1">
      <alignment vertical="center"/>
    </xf>
    <xf numFmtId="9" fontId="8" fillId="0" borderId="0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11" fillId="0" borderId="9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2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9" fontId="11" fillId="0" borderId="2" xfId="0" applyNumberFormat="1" applyFont="1" applyBorder="1">
      <alignment vertical="center"/>
    </xf>
    <xf numFmtId="9" fontId="11" fillId="0" borderId="5" xfId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9" fontId="11" fillId="0" borderId="4" xfId="0" applyNumberFormat="1" applyFont="1" applyBorder="1">
      <alignment vertical="center"/>
    </xf>
    <xf numFmtId="9" fontId="11" fillId="0" borderId="11" xfId="0" applyNumberFormat="1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3" fontId="0" fillId="0" borderId="0" xfId="0" applyNumberFormat="1" applyFill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6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>
      <alignment vertical="center"/>
    </xf>
    <xf numFmtId="4" fontId="0" fillId="0" borderId="0" xfId="1" applyNumberFormat="1" applyFont="1">
      <alignment vertical="center"/>
    </xf>
    <xf numFmtId="180" fontId="0" fillId="0" borderId="0" xfId="0" applyNumberFormat="1">
      <alignment vertical="center"/>
    </xf>
    <xf numFmtId="0" fontId="0" fillId="0" borderId="7" xfId="0" applyFill="1" applyBorder="1">
      <alignment vertical="center"/>
    </xf>
    <xf numFmtId="9" fontId="0" fillId="0" borderId="0" xfId="1" applyNumberFormat="1" applyFont="1">
      <alignment vertical="center"/>
    </xf>
    <xf numFmtId="0" fontId="6" fillId="0" borderId="9" xfId="0" applyFont="1" applyBorder="1" applyAlignment="1">
      <alignment vertical="center"/>
    </xf>
    <xf numFmtId="0" fontId="2" fillId="0" borderId="0" xfId="0" applyFo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3" fontId="0" fillId="0" borderId="17" xfId="0" applyNumberFormat="1" applyBorder="1">
      <alignment vertical="center"/>
    </xf>
    <xf numFmtId="0" fontId="11" fillId="0" borderId="18" xfId="0" applyFont="1" applyBorder="1" applyAlignment="1">
      <alignment horizontal="right" vertical="center"/>
    </xf>
    <xf numFmtId="9" fontId="11" fillId="0" borderId="15" xfId="0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9" fontId="11" fillId="0" borderId="0" xfId="1" applyFont="1" applyBorder="1" applyAlignment="1">
      <alignment vertical="center"/>
    </xf>
    <xf numFmtId="9" fontId="0" fillId="0" borderId="0" xfId="0" applyNumberFormat="1">
      <alignment vertical="center"/>
    </xf>
    <xf numFmtId="0" fontId="0" fillId="0" borderId="0" xfId="0" applyBorder="1">
      <alignment vertical="center"/>
    </xf>
    <xf numFmtId="9" fontId="11" fillId="0" borderId="0" xfId="0" applyNumberFormat="1" applyFont="1" applyBorder="1">
      <alignment vertical="center"/>
    </xf>
    <xf numFmtId="0" fontId="0" fillId="0" borderId="12" xfId="0" applyBorder="1">
      <alignment vertical="center"/>
    </xf>
    <xf numFmtId="9" fontId="0" fillId="0" borderId="12" xfId="0" applyNumberFormat="1" applyBorder="1">
      <alignment vertical="center"/>
    </xf>
    <xf numFmtId="9" fontId="11" fillId="0" borderId="12" xfId="0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vertical="center"/>
    </xf>
    <xf numFmtId="177" fontId="11" fillId="0" borderId="11" xfId="1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11" fillId="0" borderId="1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9" fontId="11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</cellXfs>
  <cellStyles count="2">
    <cellStyle name="백분율" xfId="1" builtinId="5"/>
    <cellStyle name="표준" xfId="0" builtinId="0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1A2F-87DF-495B-BEEA-637E1A42BB14}">
  <sheetPr codeName="Sheet1"/>
  <dimension ref="A2:O18"/>
  <sheetViews>
    <sheetView workbookViewId="0">
      <selection activeCell="F4" sqref="F4"/>
    </sheetView>
  </sheetViews>
  <sheetFormatPr defaultRowHeight="16.5"/>
  <cols>
    <col min="1" max="1" width="6.75" customWidth="1"/>
    <col min="2" max="2" width="11.625" bestFit="1" customWidth="1"/>
    <col min="4" max="4" width="11.625" bestFit="1" customWidth="1"/>
    <col min="5" max="5" width="2.5" bestFit="1" customWidth="1"/>
    <col min="7" max="7" width="5.25" bestFit="1" customWidth="1"/>
    <col min="8" max="10" width="3.375" customWidth="1"/>
    <col min="12" max="12" width="11" bestFit="1" customWidth="1"/>
    <col min="13" max="13" width="11.625" bestFit="1" customWidth="1"/>
    <col min="14" max="14" width="12.125" bestFit="1" customWidth="1"/>
  </cols>
  <sheetData>
    <row r="2" spans="1:15">
      <c r="A2" s="117" t="s">
        <v>289</v>
      </c>
      <c r="B2" s="117"/>
      <c r="C2" s="117"/>
      <c r="E2" s="117" t="s">
        <v>290</v>
      </c>
      <c r="F2" s="117"/>
      <c r="G2" s="117"/>
      <c r="H2" s="117"/>
      <c r="I2" s="117"/>
      <c r="J2" s="117"/>
      <c r="K2" s="110"/>
      <c r="L2" s="110"/>
    </row>
    <row r="3" spans="1:15">
      <c r="A3" s="117" t="s">
        <v>275</v>
      </c>
      <c r="B3" s="106" t="s">
        <v>19</v>
      </c>
      <c r="C3" s="106">
        <v>621</v>
      </c>
      <c r="E3" s="106"/>
      <c r="F3" s="109" t="s">
        <v>0</v>
      </c>
      <c r="G3" s="109" t="s">
        <v>291</v>
      </c>
      <c r="H3" s="117" t="s">
        <v>14</v>
      </c>
      <c r="I3" s="117"/>
      <c r="J3" s="117"/>
      <c r="K3" s="16" t="s">
        <v>16</v>
      </c>
      <c r="L3" s="16" t="s">
        <v>292</v>
      </c>
      <c r="M3" s="16" t="s">
        <v>293</v>
      </c>
      <c r="N3" s="16" t="s">
        <v>294</v>
      </c>
      <c r="O3" s="111" t="s">
        <v>248</v>
      </c>
    </row>
    <row r="4" spans="1:15">
      <c r="A4" s="117"/>
      <c r="B4" s="106" t="s">
        <v>21</v>
      </c>
      <c r="C4" s="106">
        <v>361</v>
      </c>
      <c r="E4" s="106">
        <v>1</v>
      </c>
      <c r="F4" s="106"/>
      <c r="G4" s="109">
        <v>10</v>
      </c>
      <c r="H4" s="109">
        <v>2</v>
      </c>
      <c r="I4" s="109">
        <v>2</v>
      </c>
      <c r="J4" s="109">
        <v>1</v>
      </c>
      <c r="K4" s="16"/>
      <c r="L4" s="16"/>
    </row>
    <row r="5" spans="1:15">
      <c r="A5" s="117"/>
      <c r="B5" s="106" t="s">
        <v>20</v>
      </c>
      <c r="C5" s="106">
        <v>616</v>
      </c>
      <c r="E5" s="106">
        <v>2</v>
      </c>
      <c r="F5" s="106"/>
      <c r="G5" s="109">
        <v>10</v>
      </c>
      <c r="H5" s="109">
        <v>2</v>
      </c>
      <c r="I5" s="109">
        <v>2</v>
      </c>
      <c r="J5" s="109">
        <v>1</v>
      </c>
      <c r="L5" s="103"/>
    </row>
    <row r="6" spans="1:15">
      <c r="A6" s="117"/>
      <c r="B6" s="106" t="s">
        <v>22</v>
      </c>
      <c r="C6" s="106">
        <v>100</v>
      </c>
      <c r="E6" s="106">
        <v>3</v>
      </c>
      <c r="F6" s="106"/>
      <c r="G6" s="109">
        <v>10</v>
      </c>
      <c r="H6" s="109">
        <v>2</v>
      </c>
      <c r="I6" s="109">
        <v>2</v>
      </c>
      <c r="J6" s="109">
        <v>1</v>
      </c>
    </row>
    <row r="7" spans="1:15">
      <c r="A7" s="117" t="s">
        <v>276</v>
      </c>
      <c r="B7" s="106" t="s">
        <v>277</v>
      </c>
      <c r="C7" s="107">
        <v>0</v>
      </c>
      <c r="E7" s="106">
        <v>4</v>
      </c>
      <c r="F7" s="106"/>
      <c r="G7" s="109">
        <v>10</v>
      </c>
      <c r="H7" s="109">
        <v>2</v>
      </c>
      <c r="I7" s="109">
        <v>2</v>
      </c>
      <c r="J7" s="109">
        <v>1</v>
      </c>
    </row>
    <row r="8" spans="1:15">
      <c r="A8" s="117"/>
      <c r="B8" s="106" t="s">
        <v>278</v>
      </c>
      <c r="C8" s="107">
        <v>0</v>
      </c>
      <c r="E8" s="106">
        <v>5</v>
      </c>
      <c r="F8" s="106"/>
      <c r="G8" s="109">
        <v>10</v>
      </c>
      <c r="H8" s="109">
        <v>2</v>
      </c>
      <c r="I8" s="109">
        <v>2</v>
      </c>
      <c r="J8" s="109">
        <v>1</v>
      </c>
    </row>
    <row r="9" spans="1:15">
      <c r="A9" s="117"/>
      <c r="B9" s="106" t="s">
        <v>279</v>
      </c>
      <c r="C9" s="107">
        <v>0.05</v>
      </c>
      <c r="E9" s="106">
        <v>6</v>
      </c>
      <c r="F9" s="106"/>
      <c r="G9" s="109">
        <v>10</v>
      </c>
      <c r="H9" s="109">
        <v>2</v>
      </c>
      <c r="I9" s="109">
        <v>2</v>
      </c>
      <c r="J9" s="109">
        <v>1</v>
      </c>
    </row>
    <row r="10" spans="1:15">
      <c r="A10" s="117"/>
      <c r="B10" s="106" t="s">
        <v>280</v>
      </c>
      <c r="C10" s="107">
        <v>0</v>
      </c>
      <c r="D10" s="104"/>
      <c r="E10" s="106">
        <v>7</v>
      </c>
      <c r="F10" s="106"/>
      <c r="G10" s="109">
        <v>10</v>
      </c>
      <c r="H10" s="109">
        <v>2</v>
      </c>
      <c r="I10" s="109">
        <v>2</v>
      </c>
      <c r="J10" s="109">
        <v>1</v>
      </c>
    </row>
    <row r="11" spans="1:15">
      <c r="A11" s="117" t="s">
        <v>282</v>
      </c>
      <c r="B11" s="106" t="s">
        <v>239</v>
      </c>
      <c r="C11" s="70" t="s">
        <v>287</v>
      </c>
      <c r="D11" s="104"/>
      <c r="E11" s="106">
        <v>8</v>
      </c>
      <c r="F11" s="106"/>
      <c r="G11" s="109">
        <v>10</v>
      </c>
      <c r="H11" s="109">
        <v>2</v>
      </c>
      <c r="I11" s="109">
        <v>2</v>
      </c>
      <c r="J11" s="109">
        <v>1</v>
      </c>
    </row>
    <row r="12" spans="1:15">
      <c r="A12" s="117"/>
      <c r="B12" s="106" t="s">
        <v>283</v>
      </c>
      <c r="C12" s="70" t="s">
        <v>287</v>
      </c>
      <c r="D12" s="104"/>
    </row>
    <row r="13" spans="1:15">
      <c r="A13" s="117"/>
      <c r="B13" s="106" t="s">
        <v>285</v>
      </c>
      <c r="C13" s="70" t="s">
        <v>287</v>
      </c>
      <c r="D13" s="104"/>
    </row>
    <row r="14" spans="1:15">
      <c r="A14" s="117"/>
      <c r="B14" s="106" t="s">
        <v>284</v>
      </c>
      <c r="C14" s="70" t="s">
        <v>287</v>
      </c>
      <c r="D14" s="104"/>
    </row>
    <row r="15" spans="1:15">
      <c r="A15" s="117"/>
      <c r="B15" s="106" t="s">
        <v>286</v>
      </c>
      <c r="C15" s="70" t="s">
        <v>287</v>
      </c>
      <c r="D15" s="104"/>
    </row>
    <row r="16" spans="1:15">
      <c r="A16" s="109" t="s">
        <v>281</v>
      </c>
      <c r="B16" s="106" t="s">
        <v>288</v>
      </c>
      <c r="C16" s="108">
        <v>0</v>
      </c>
      <c r="D16" s="104"/>
    </row>
    <row r="17" spans="3:4">
      <c r="C17" s="104"/>
      <c r="D17" s="104"/>
    </row>
    <row r="18" spans="3:4">
      <c r="C18" s="104"/>
      <c r="D18" s="104"/>
    </row>
  </sheetData>
  <mergeCells count="6">
    <mergeCell ref="A7:A10"/>
    <mergeCell ref="A11:A15"/>
    <mergeCell ref="A2:C2"/>
    <mergeCell ref="H3:J3"/>
    <mergeCell ref="E2:J2"/>
    <mergeCell ref="A3:A6"/>
  </mergeCells>
  <phoneticPr fontId="1" type="noConversion"/>
  <dataValidations count="7">
    <dataValidation type="list" allowBlank="1" showInputMessage="1" showErrorMessage="1" sqref="C16" xr:uid="{9BDD9D79-3125-4B20-BD63-B79DE453A4DC}">
      <formula1>"0%,5%,10%,15%"</formula1>
    </dataValidation>
    <dataValidation type="list" allowBlank="1" showInputMessage="1" showErrorMessage="1" sqref="C14:C15" xr:uid="{FC2802B8-07A9-4EBE-B2F9-E00AA2F7B765}">
      <formula1>"-,섬열, 초풍, 화조, 방천, 내연, 뇌진, 풍신, 폭쇄"</formula1>
    </dataValidation>
    <dataValidation type="list" allowBlank="1" showInputMessage="1" showErrorMessage="1" sqref="C12:C13" xr:uid="{ACFF3335-96D6-43F6-8547-DC0AC002C2C0}">
      <formula1>"-,붕천, 삼연, 월섬, 지뢰, 잠룡, 용포, 나선, 화룡, 뇌명"</formula1>
    </dataValidation>
    <dataValidation type="list" allowBlank="1" showInputMessage="1" showErrorMessage="1" sqref="C11" xr:uid="{84A06084-D5F7-47B9-82F2-7712CC27FD39}">
      <formula1>"-,붕천, 삼연, 월섬, 지뢰, 잠룡, 용포, 나선, 화룡, 뇌명,섬열, 초풍, 화조, 방천, 내연, 뇌진, 풍신, 폭쇄"</formula1>
    </dataValidation>
    <dataValidation type="list" allowBlank="1" showInputMessage="1" showErrorMessage="1" sqref="J4:J11" xr:uid="{5E6A9CE9-07E1-4402-96C2-6470C5F32F56}">
      <formula1>"-,1,2"</formula1>
    </dataValidation>
    <dataValidation type="list" allowBlank="1" showInputMessage="1" showErrorMessage="1" sqref="H4:I11" xr:uid="{675393BE-E8D9-479B-B80B-135A558C7FFA}">
      <formula1>"-,1,2,3"</formula1>
    </dataValidation>
    <dataValidation type="list" allowBlank="1" showInputMessage="1" showErrorMessage="1" sqref="F4:F11" xr:uid="{E3E5D938-7B83-4639-BB1A-3D25B05EF75B}">
      <formula1>"나선,내연,뇌명,뇌진,바속,방천,붕천,삼연,섬열,오연,용포,월섬,잠룡,지뢰,초풍,폭쇄,풍신,화룡,화룡(H),화조"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F84B-50BF-4D64-9E08-44DD8052591A}">
  <sheetPr codeName="Sheet2"/>
  <dimension ref="C1:Y40"/>
  <sheetViews>
    <sheetView tabSelected="1" workbookViewId="0">
      <pane ySplit="9" topLeftCell="A10" activePane="bottomLeft" state="frozen"/>
      <selection pane="bottomLeft" activeCell="I17" sqref="I17"/>
    </sheetView>
  </sheetViews>
  <sheetFormatPr defaultRowHeight="16.5"/>
  <cols>
    <col min="1" max="1" width="0.375" customWidth="1"/>
    <col min="2" max="2" width="4.375" customWidth="1"/>
    <col min="3" max="3" width="7.625" customWidth="1"/>
    <col min="4" max="4" width="3.625" style="4" hidden="1" customWidth="1"/>
    <col min="5" max="5" width="4.5" style="12" customWidth="1"/>
    <col min="6" max="8" width="5" style="4" customWidth="1"/>
    <col min="9" max="9" width="5" customWidth="1"/>
    <col min="10" max="12" width="6.75" customWidth="1"/>
    <col min="13" max="14" width="8" customWidth="1"/>
    <col min="15" max="16" width="10.375" customWidth="1"/>
    <col min="17" max="18" width="10" customWidth="1"/>
    <col min="19" max="20" width="7.5" customWidth="1"/>
    <col min="21" max="23" width="9.25" customWidth="1"/>
    <col min="24" max="24" width="10.75" customWidth="1"/>
    <col min="25" max="25" width="54.875" customWidth="1"/>
  </cols>
  <sheetData>
    <row r="1" spans="3:25" ht="2.25" customHeight="1">
      <c r="D1" s="16"/>
      <c r="E1" s="16"/>
      <c r="F1" s="16"/>
      <c r="G1" s="16"/>
      <c r="H1" s="16"/>
    </row>
    <row r="2" spans="3:25" s="48" customFormat="1" ht="12.75" customHeight="1">
      <c r="C2" s="59" t="s">
        <v>19</v>
      </c>
      <c r="D2" s="60"/>
      <c r="E2" s="60">
        <f>Simulator!C3</f>
        <v>621</v>
      </c>
      <c r="F2" s="127" t="s">
        <v>21</v>
      </c>
      <c r="G2" s="128"/>
      <c r="H2" s="46">
        <f>Simulator!C4</f>
        <v>361</v>
      </c>
      <c r="I2" s="119" t="s">
        <v>20</v>
      </c>
      <c r="J2" s="120"/>
      <c r="K2" s="46">
        <f>Simulator!C5</f>
        <v>616</v>
      </c>
      <c r="L2" s="47" t="s">
        <v>22</v>
      </c>
      <c r="M2" s="46">
        <f>Simulator!C6</f>
        <v>100</v>
      </c>
      <c r="O2" s="96" t="s">
        <v>273</v>
      </c>
      <c r="P2" s="97">
        <v>0</v>
      </c>
      <c r="R2" s="45" t="s">
        <v>229</v>
      </c>
      <c r="S2" s="58">
        <v>0.4</v>
      </c>
      <c r="U2" s="70" t="s">
        <v>236</v>
      </c>
      <c r="V2" s="59" t="s">
        <v>237</v>
      </c>
      <c r="W2" s="60" t="s">
        <v>238</v>
      </c>
      <c r="X2" s="61" t="s">
        <v>239</v>
      </c>
    </row>
    <row r="3" spans="3:25" s="48" customFormat="1" ht="12.75" customHeight="1">
      <c r="C3" s="59" t="s">
        <v>219</v>
      </c>
      <c r="D3" s="60"/>
      <c r="E3" s="60">
        <f>E2*(1+P3)*(1+S4)</f>
        <v>621</v>
      </c>
      <c r="F3" s="127" t="s">
        <v>217</v>
      </c>
      <c r="G3" s="128"/>
      <c r="H3" s="116">
        <f>H2*0.0357/100+P4</f>
        <v>0.17887700000000001</v>
      </c>
      <c r="I3" s="121" t="s">
        <v>218</v>
      </c>
      <c r="J3" s="122"/>
      <c r="K3" s="50">
        <f>K2*0.032/100</f>
        <v>0.19711999999999999</v>
      </c>
      <c r="L3" s="51" t="s">
        <v>222</v>
      </c>
      <c r="M3" s="50">
        <f>M2*0.0215/100</f>
        <v>2.1499999999999998E-2</v>
      </c>
      <c r="O3" s="52" t="s">
        <v>99</v>
      </c>
      <c r="P3" s="53">
        <v>0</v>
      </c>
      <c r="U3" s="68" t="s">
        <v>18</v>
      </c>
      <c r="V3" s="65"/>
      <c r="W3" s="65"/>
      <c r="X3" s="66"/>
    </row>
    <row r="4" spans="3:25" s="48" customFormat="1" ht="12.75" customHeight="1">
      <c r="D4" s="49"/>
      <c r="E4" s="49"/>
      <c r="F4" s="127" t="s">
        <v>296</v>
      </c>
      <c r="G4" s="128"/>
      <c r="H4" s="115">
        <v>0.08</v>
      </c>
      <c r="I4" s="123" t="s">
        <v>220</v>
      </c>
      <c r="J4" s="124"/>
      <c r="K4" s="50">
        <f>K2*0.0714/100</f>
        <v>0.43982400000000005</v>
      </c>
      <c r="L4" s="54" t="s">
        <v>258</v>
      </c>
      <c r="M4" s="55">
        <f>M2*0.0171/100</f>
        <v>1.7100000000000001E-2</v>
      </c>
      <c r="O4" s="52" t="s">
        <v>100</v>
      </c>
      <c r="P4" s="53">
        <v>0.05</v>
      </c>
      <c r="R4" s="90" t="s">
        <v>266</v>
      </c>
      <c r="S4" s="58">
        <v>0</v>
      </c>
      <c r="U4" s="69" t="s">
        <v>17</v>
      </c>
      <c r="V4" s="62" t="s">
        <v>7</v>
      </c>
      <c r="W4" s="62" t="s">
        <v>27</v>
      </c>
      <c r="X4" s="67"/>
    </row>
    <row r="5" spans="3:25" s="48" customFormat="1" ht="12.75" customHeight="1">
      <c r="D5" s="49"/>
      <c r="E5" s="49"/>
      <c r="F5" s="129" t="s">
        <v>295</v>
      </c>
      <c r="G5" s="130"/>
      <c r="H5" s="57">
        <v>0.3</v>
      </c>
      <c r="I5" s="125" t="s">
        <v>221</v>
      </c>
      <c r="J5" s="126"/>
      <c r="K5" s="55">
        <f>K2/1000</f>
        <v>0.61599999999999999</v>
      </c>
      <c r="L5" s="102"/>
      <c r="M5" s="98"/>
      <c r="O5" s="56" t="s">
        <v>101</v>
      </c>
      <c r="P5" s="57">
        <v>0</v>
      </c>
      <c r="R5" s="113"/>
      <c r="S5" s="105"/>
      <c r="U5" s="114"/>
      <c r="V5" s="100"/>
      <c r="W5" s="100"/>
      <c r="X5" s="99"/>
    </row>
    <row r="6" spans="3:25" s="48" customFormat="1" ht="12.75" customHeight="1">
      <c r="D6" s="49"/>
      <c r="E6" s="49"/>
    </row>
    <row r="7" spans="3:25" s="48" customFormat="1" ht="12.75" customHeight="1">
      <c r="D7" s="49"/>
      <c r="E7" s="49"/>
      <c r="I7" s="101"/>
      <c r="J7" s="101"/>
      <c r="K7" s="98"/>
      <c r="O7" s="112"/>
      <c r="P7" s="105"/>
    </row>
    <row r="8" spans="3:25" ht="6.75" customHeight="1">
      <c r="N8" s="4"/>
      <c r="O8" s="4"/>
    </row>
    <row r="9" spans="3:25">
      <c r="C9" s="35" t="s">
        <v>223</v>
      </c>
      <c r="D9" s="36" t="s">
        <v>130</v>
      </c>
      <c r="E9" s="36" t="s">
        <v>15</v>
      </c>
      <c r="F9" s="118" t="s">
        <v>14</v>
      </c>
      <c r="G9" s="118"/>
      <c r="H9" s="118"/>
      <c r="I9" s="36" t="s">
        <v>16</v>
      </c>
      <c r="J9" s="36" t="s">
        <v>18</v>
      </c>
      <c r="K9" s="36" t="s">
        <v>17</v>
      </c>
      <c r="L9" s="36" t="s">
        <v>173</v>
      </c>
      <c r="M9" s="37" t="s">
        <v>240</v>
      </c>
      <c r="N9" s="37" t="s">
        <v>241</v>
      </c>
      <c r="O9" s="37" t="s">
        <v>242</v>
      </c>
      <c r="P9" s="37" t="s">
        <v>243</v>
      </c>
      <c r="Q9" s="36" t="s">
        <v>244</v>
      </c>
      <c r="R9" s="36" t="s">
        <v>245</v>
      </c>
      <c r="S9" s="36" t="s">
        <v>246</v>
      </c>
      <c r="T9" s="36" t="s">
        <v>247</v>
      </c>
      <c r="U9" s="36" t="s">
        <v>227</v>
      </c>
      <c r="V9" s="36" t="s">
        <v>225</v>
      </c>
      <c r="W9" s="36" t="s">
        <v>248</v>
      </c>
      <c r="X9" s="36" t="s">
        <v>249</v>
      </c>
      <c r="Y9" s="38" t="s">
        <v>216</v>
      </c>
    </row>
    <row r="10" spans="3:25" ht="36">
      <c r="C10" s="21" t="str">
        <f>IF(H10=1,"삼연","오연")</f>
        <v>삼연</v>
      </c>
      <c r="D10" s="15">
        <v>1</v>
      </c>
      <c r="E10" s="15">
        <f t="shared" ref="E10:E27" si="0">IF(F10="-",1,IF(G10="-",4,IF(H10="-",7,10)))</f>
        <v>10</v>
      </c>
      <c r="F10" s="15">
        <v>2</v>
      </c>
      <c r="G10" s="15">
        <v>2</v>
      </c>
      <c r="H10" s="15">
        <v>1</v>
      </c>
      <c r="I10" s="15">
        <f>6/(1+K10)/(1+쿨감)</f>
        <v>5.8737151248164459</v>
      </c>
      <c r="J10" s="19">
        <f>IF(OR($V$3="삼연",$W$3="삼연"),20%,0)+IF($X$3="삼연",15%,0)</f>
        <v>0</v>
      </c>
      <c r="K10" s="19">
        <f>IF(OR($V$4="삼연",$W$4="삼연"),15%,0)</f>
        <v>0</v>
      </c>
      <c r="L10" s="19">
        <v>0</v>
      </c>
      <c r="M10" s="30">
        <f ca="1">VLOOKUP(C10&amp;E10&amp;F10&amp;G10&amp;H10,'Basic Data'!$A$2:$G$335,7,0)*(1+J10)*$S$2</f>
        <v>2072.8945975278471</v>
      </c>
      <c r="N10" s="30">
        <f ca="1">M10*(1+D10*0.2)</f>
        <v>2487.4735170334166</v>
      </c>
      <c r="O10" s="30">
        <f t="shared" ref="O10:P13" ca="1" si="1">M10*(2+$P$5)</f>
        <v>4145.7891950556941</v>
      </c>
      <c r="P10" s="30">
        <f t="shared" ca="1" si="1"/>
        <v>4974.9470340668331</v>
      </c>
      <c r="Q10" s="30">
        <f t="shared" ref="Q10:Q28" ca="1" si="2">M10*(1-MIN(1,치명+L10))+O10*MIN(1,치명+L10)</f>
        <v>2443.6877644498359</v>
      </c>
      <c r="R10" s="30">
        <f t="shared" ref="R10:R28" ca="1" si="3">N10*(1-MIN(1,치명+L10+$H$4*D10))+P10*MIN(1,치명+L10+$H$4*D10)</f>
        <v>3131.4231987024764</v>
      </c>
      <c r="S10" s="30">
        <f t="shared" ref="S10:S28" ca="1" si="4">Q10/I10</f>
        <v>416.0378418975846</v>
      </c>
      <c r="T10" s="30">
        <f t="shared" ref="T10:T28" ca="1" si="5">R10/I10</f>
        <v>533.1247995790967</v>
      </c>
      <c r="U10" s="92">
        <f>VLOOKUP(C10&amp;E10&amp;F10&amp;G10&amp;H10,'Basic Data'!$A$2:$J$335,8,0)/(1+$M$4+$P$2)</f>
        <v>1.0962540556484124</v>
      </c>
      <c r="V10" s="81">
        <f>VLOOKUP(C10&amp;E10&amp;F10&amp;G10&amp;H10,'Basic Data'!$A$2:$J$335,9,0)*(1+$K$5)</f>
        <v>32.32</v>
      </c>
      <c r="W10" s="72">
        <f>(532-VLOOKUP(C10&amp;E10&amp;F10&amp;G10&amp;H10,'Basic Data'!$A$2:$J$335,10,0))</f>
        <v>19</v>
      </c>
      <c r="X10" s="72">
        <f t="shared" ref="X10:X21" si="6">W10/I10</f>
        <v>3.2347500000000005</v>
      </c>
      <c r="Y10" s="31" t="str">
        <f>VLOOKUP($C10&amp;1&amp;F10,Sheet3!$A$2:$E$221,5,0)&amp;CHAR(10)&amp;VLOOKUP($C10&amp;2&amp;G10,Sheet3!$A$2:$E$221,5,0)&amp;CHAR(10)&amp;VLOOKUP($C10&amp;3&amp;H10,Sheet3!$A$2:$E$221,5,0)</f>
        <v>버블수급 100%증가
타격 회수당 15%씩 피해증가
공속 20% 증가 막타만 50%뎀증</v>
      </c>
    </row>
    <row r="11" spans="3:25" ht="36">
      <c r="C11" s="21" t="s">
        <v>141</v>
      </c>
      <c r="D11" s="15">
        <v>1</v>
      </c>
      <c r="E11" s="15">
        <f t="shared" si="0"/>
        <v>10</v>
      </c>
      <c r="F11" s="15">
        <v>3</v>
      </c>
      <c r="G11" s="15">
        <v>2</v>
      </c>
      <c r="H11" s="15">
        <v>2</v>
      </c>
      <c r="I11" s="15">
        <f>IF(G11=1,14,8)/(1+K11)/(1+쿨감)</f>
        <v>7.8316201664219278</v>
      </c>
      <c r="J11" s="32">
        <f t="shared" ref="J11:J23" si="7">IF(OR($V$3=C11,$W$3=C11),20%,0)+IF($X$3=C11,15%,0)</f>
        <v>0</v>
      </c>
      <c r="K11" s="32">
        <f t="shared" ref="K11:K27" si="8">IF(OR($V$4=C11,$W$4=C11),15%,0)</f>
        <v>0</v>
      </c>
      <c r="L11" s="19">
        <v>0</v>
      </c>
      <c r="M11" s="30">
        <f ca="1">VLOOKUP(C11&amp;E11&amp;F11&amp;G11&amp;H11,'Basic Data'!$A$2:$G$335,7,0)*(1+J11)*$S$2</f>
        <v>942.49230769230769</v>
      </c>
      <c r="N11" s="30">
        <f ca="1">M11*(1+D11*0.2)</f>
        <v>1130.9907692307693</v>
      </c>
      <c r="O11" s="30">
        <f t="shared" ca="1" si="1"/>
        <v>1884.9846153846154</v>
      </c>
      <c r="P11" s="30">
        <f t="shared" ca="1" si="1"/>
        <v>2261.9815384615385</v>
      </c>
      <c r="Q11" s="30">
        <f t="shared" ca="1" si="2"/>
        <v>1111.0825042153847</v>
      </c>
      <c r="R11" s="30">
        <f t="shared" ca="1" si="3"/>
        <v>1423.7782665969232</v>
      </c>
      <c r="S11" s="30">
        <f t="shared" ca="1" si="4"/>
        <v>141.87134725700196</v>
      </c>
      <c r="T11" s="30">
        <f t="shared" ca="1" si="5"/>
        <v>181.79868741609465</v>
      </c>
      <c r="U11" s="92">
        <f>VLOOKUP(C11&amp;E11&amp;F11&amp;G11&amp;H11,'Basic Data'!$A$2:$J$335,8,0)/(1+$M$4+$P$2)</f>
        <v>0.8671713695801796</v>
      </c>
      <c r="V11" s="81">
        <f>VLOOKUP(C11&amp;E11&amp;F11&amp;G11&amp;H11,'Basic Data'!$A$2:$J$335,9,0)*(1+$K$5)</f>
        <v>40.400000000000006</v>
      </c>
      <c r="W11" s="72">
        <f>(532-VLOOKUP(C11&amp;E11&amp;F11&amp;G11&amp;H11,'Basic Data'!$A$2:$J$335,10,0))</f>
        <v>19</v>
      </c>
      <c r="X11" s="72">
        <f t="shared" si="6"/>
        <v>2.4260625</v>
      </c>
      <c r="Y11" s="31" t="str">
        <f>VLOOKUP($C11&amp;1&amp;F11,Sheet3!$A$2:$E$221,5,0)&amp;CHAR(10)&amp;VLOOKUP($C11&amp;2&amp;G11,Sheet3!$A$2:$E$221,5,0)&amp;CHAR(10)&amp;VLOOKUP($C11&amp;3&amp;H11,Sheet3!$A$2:$E$221,5,0)</f>
        <v>공속 20% 증가
공격범위 20% 증가
버블수급 200%증가</v>
      </c>
    </row>
    <row r="12" spans="3:25" ht="36">
      <c r="C12" s="84" t="s">
        <v>142</v>
      </c>
      <c r="D12" s="15">
        <v>1</v>
      </c>
      <c r="E12" s="15">
        <f t="shared" si="0"/>
        <v>10</v>
      </c>
      <c r="F12" s="15">
        <v>2</v>
      </c>
      <c r="G12" s="15">
        <v>3</v>
      </c>
      <c r="H12" s="15">
        <v>2</v>
      </c>
      <c r="I12" s="15">
        <f>7/(1+K12)/(1+쿨감)</f>
        <v>6.8526676456191868</v>
      </c>
      <c r="J12" s="32">
        <f t="shared" si="7"/>
        <v>0</v>
      </c>
      <c r="K12" s="32">
        <f t="shared" si="8"/>
        <v>0</v>
      </c>
      <c r="L12" s="19">
        <v>0</v>
      </c>
      <c r="M12" s="30">
        <f ca="1">VLOOKUP(C12&amp;E12&amp;F12&amp;G12&amp;H12,'Basic Data'!$A$2:$G$335,7,0)*(1+J12)*$S$2
+IF(G12=3,((Master!G12+공격력)*Master!H12+(Master!G13+공격력)*Master!H13)*9%,0)*(1+J12)*$S$2</f>
        <v>1621.9915588835945</v>
      </c>
      <c r="N12" s="30">
        <f ca="1">(M12-IF(G12=3,((Master!G12+공격력)*Master!H12+(Master!G13+공격력)*Master!H13)*9%,0)*(1+J12)*$S$2)*(1+D12*0.2)
+IF(G12=3,((Master!G12+공격력)*Master!H12+(Master!G13+공격력)*Master!H13)*9%,0)*(1+J12)*$S$2</f>
        <v>1928.7680684625111</v>
      </c>
      <c r="O12" s="30">
        <f t="shared" ca="1" si="1"/>
        <v>3243.983117767189</v>
      </c>
      <c r="P12" s="30">
        <f t="shared" ca="1" si="1"/>
        <v>3857.5361369250222</v>
      </c>
      <c r="Q12" s="30">
        <f t="shared" ca="1" si="2"/>
        <v>1912.1285429620152</v>
      </c>
      <c r="R12" s="30">
        <f t="shared" ca="1" si="3"/>
        <v>2428.0817597218806</v>
      </c>
      <c r="S12" s="30">
        <f t="shared" ca="1" si="4"/>
        <v>279.03418666224269</v>
      </c>
      <c r="T12" s="30">
        <f t="shared" ca="1" si="5"/>
        <v>354.32650250798588</v>
      </c>
      <c r="U12" s="92">
        <f>VLOOKUP(C12&amp;E12&amp;F12&amp;G12&amp;H12,'Basic Data'!$A$2:$J$335,8,0)/(1+$M$4+$P$2)</f>
        <v>0.83570936977681798</v>
      </c>
      <c r="V12" s="81">
        <f>VLOOKUP(C12&amp;E12&amp;F12&amp;G12&amp;H12,'Basic Data'!$A$2:$J$335,9,0)*(1+$K$5)</f>
        <v>22.624000000000002</v>
      </c>
      <c r="W12" s="72">
        <f>(532-VLOOKUP(C12&amp;E12&amp;F12&amp;G12&amp;H12,'Basic Data'!$A$2:$J$335,10,0))</f>
        <v>19</v>
      </c>
      <c r="X12" s="72">
        <f t="shared" si="6"/>
        <v>2.7726428571428574</v>
      </c>
      <c r="Y12" s="31" t="str">
        <f>VLOOKUP($C12&amp;1&amp;F12,Sheet3!$A$2:$E$221,5,0)&amp;CHAR(10)&amp;VLOOKUP($C12&amp;2&amp;G12,Sheet3!$A$2:$E$221,5,0)&amp;CHAR(10)&amp;VLOOKUP($C12&amp;3&amp;H12,Sheet3!$A$2:$E$221,5,0)</f>
        <v>막타 버블수급 30%증가
막타에 50%확률로 전격(총 기본피해의 18%추정)
공격형태 변경. 이동거리 대폭증가</v>
      </c>
    </row>
    <row r="13" spans="3:25" ht="36">
      <c r="C13" s="84" t="s">
        <v>3</v>
      </c>
      <c r="D13" s="15">
        <v>1</v>
      </c>
      <c r="E13" s="15">
        <f t="shared" si="0"/>
        <v>10</v>
      </c>
      <c r="F13" s="15">
        <v>2</v>
      </c>
      <c r="G13" s="15">
        <v>2</v>
      </c>
      <c r="H13" s="15">
        <v>2</v>
      </c>
      <c r="I13" s="15">
        <f>14/(1+K13)/(1+쿨감)</f>
        <v>13.705335291238374</v>
      </c>
      <c r="J13" s="32">
        <f t="shared" si="7"/>
        <v>0</v>
      </c>
      <c r="K13" s="32">
        <f t="shared" si="8"/>
        <v>0</v>
      </c>
      <c r="L13" s="19">
        <f>IF(H13=1,0.3,0)+IF(F13=2,0.15,0)</f>
        <v>0.15</v>
      </c>
      <c r="M13" s="30">
        <f ca="1">VLOOKUP(C13&amp;E13&amp;F13&amp;G13&amp;H13,'Basic Data'!$A$2:$G$335,7,0)*(1+J13)*$S$2</f>
        <v>2408.4548662897796</v>
      </c>
      <c r="N13" s="30">
        <f ca="1">M13*(1+D13*0.2)</f>
        <v>2890.1458395477352</v>
      </c>
      <c r="O13" s="30">
        <f t="shared" ca="1" si="1"/>
        <v>4816.9097325795592</v>
      </c>
      <c r="P13" s="30">
        <f t="shared" ca="1" si="1"/>
        <v>5780.2916790954705</v>
      </c>
      <c r="Q13" s="30">
        <f t="shared" ca="1" si="2"/>
        <v>3200.5402773505634</v>
      </c>
      <c r="R13" s="30">
        <f t="shared" ca="1" si="3"/>
        <v>4071.8599999844946</v>
      </c>
      <c r="S13" s="30">
        <f t="shared" ca="1" si="4"/>
        <v>233.52513523668577</v>
      </c>
      <c r="T13" s="30">
        <f t="shared" ca="1" si="5"/>
        <v>297.10035642744009</v>
      </c>
      <c r="U13" s="92">
        <f>VLOOKUP(C13&amp;E13&amp;F13&amp;G13&amp;H13,'Basic Data'!$A$2:$J$335,8,0)/(1+$M$4+$P$2)</f>
        <v>1.37646249139711</v>
      </c>
      <c r="V13" s="81">
        <f>VLOOKUP(C13&amp;E13&amp;F13&amp;G13&amp;H13,'Basic Data'!$A$2:$J$335,9,0)*(1+$K$5)</f>
        <v>40.400000000000006</v>
      </c>
      <c r="W13" s="72">
        <f>(532-VLOOKUP(C13&amp;E13&amp;F13&amp;G13&amp;H13,'Basic Data'!$A$2:$J$335,10,0))</f>
        <v>45</v>
      </c>
      <c r="X13" s="72">
        <f t="shared" si="6"/>
        <v>3.2833928571428572</v>
      </c>
      <c r="Y13" s="31" t="str">
        <f>VLOOKUP($C13&amp;1&amp;F13,Sheet3!$A$2:$E$221,5,0)&amp;CHAR(10)&amp;VLOOKUP($C13&amp;2&amp;G13,Sheet3!$A$2:$E$221,5,0)&amp;CHAR(10)&amp;VLOOKUP($C13&amp;3&amp;H13,Sheet3!$A$2:$E$221,5,0)</f>
        <v>암속성, 치깎 15% 3초
4타후 마무리공격. 뎀증은 연타만(총 20%는 맞음)
방어무시 40%(계산미포함), 피격이상면역</v>
      </c>
    </row>
    <row r="14" spans="3:25" ht="36">
      <c r="C14" s="84" t="s">
        <v>4</v>
      </c>
      <c r="D14" s="15">
        <v>1</v>
      </c>
      <c r="E14" s="15">
        <f t="shared" si="0"/>
        <v>10</v>
      </c>
      <c r="F14" s="15">
        <v>3</v>
      </c>
      <c r="G14" s="15">
        <v>3</v>
      </c>
      <c r="H14" s="15">
        <v>2</v>
      </c>
      <c r="I14" s="15">
        <f>IF(G14=1,15,18)/(1+K14)/(1+쿨감)</f>
        <v>17.621145374449338</v>
      </c>
      <c r="J14" s="32">
        <f t="shared" si="7"/>
        <v>0</v>
      </c>
      <c r="K14" s="32">
        <f t="shared" si="8"/>
        <v>0</v>
      </c>
      <c r="L14" s="19">
        <v>0</v>
      </c>
      <c r="M14" s="30">
        <f ca="1">VLOOKUP(C14&amp;E14&amp;F14&amp;G14&amp;H14,'Basic Data'!$A$2:$G$335,7,0)*(1+J14)*$S$2
+IF(F14=2,SUMPRODUCT(Master!G16:G20+공격력,Master!H16:H20)*0.15*IF(G14=3,1.5,1),IF(H14=1,IF(F14=1,SUMPRODUCT(Master!G16:G20+공격력,Master!H16:H20)*0.24,0),0))*(1+J14)*$S$2</f>
        <v>5634.6691229751168</v>
      </c>
      <c r="N14" s="30">
        <f ca="1">VLOOKUP(C14&amp;E14&amp;F14&amp;G14&amp;H14,'Basic Data'!$A$2:$G$335,7,0)*(1+J14)*$S$2*(1+D14*0.2)
+IF(F14=2,SUMPRODUCT(Master!G16:G20+공격력,Master!H16:H20)*0.15*IF(G14=3,1.5,1),IF(H14=1,IF(F14=1,SUMPRODUCT(Master!G16:G20+공격력,Master!H16:H20)*0.24,0),0))*(1+J14)*$S$2</f>
        <v>6761.6029475701398</v>
      </c>
      <c r="O14" s="30">
        <f ca="1">VLOOKUP(C14&amp;E14&amp;F14&amp;G14&amp;H14,'Basic Data'!$A$2:$G$335,7,0)*(1+J14)*$S$2*(2+$P$5)
+IF(F14=2,SUMPRODUCT(Master!G16:G20+공격력,Master!H16:H20)*0.15*IF(G14=3,1.5,1),0)*(1+J14)*$S$2*(2+$P$5)
+IF(H14=1,IF(F14=1,SUMPRODUCT(Master!G16:G20+공격력,Master!H16:H20)*0.24,0),0)*(1+J14)*$S$2</f>
        <v>11269.338245950234</v>
      </c>
      <c r="P14" s="30">
        <f ca="1">VLOOKUP(C14&amp;E14&amp;F14&amp;G14&amp;H14,'Basic Data'!$A$2:$G$335,7,0)*(1+J14)*$S$2*(2+$P$5)*(1+D14*0.2)
+IF(F14=2,SUMPRODUCT(Master!G16:G20+공격력,Master!H16:H20)*0.15*IF(G14=3,1.5,1),0)*(1+J14)*$S$2*(2+$P$5)
+IF(H14=1,IF(F14=1,SUMPRODUCT(Master!G16:G20+공격력,Master!H16:H20)*0.24,0),0)*(1+J14)*$S$2</f>
        <v>13523.20589514028</v>
      </c>
      <c r="Q14" s="30">
        <f t="shared" ca="1" si="2"/>
        <v>6642.5818316855366</v>
      </c>
      <c r="R14" s="30">
        <f t="shared" ca="1" si="3"/>
        <v>8512.0264338282541</v>
      </c>
      <c r="S14" s="30">
        <f t="shared" ca="1" si="4"/>
        <v>376.96651894815426</v>
      </c>
      <c r="T14" s="30">
        <f t="shared" ca="1" si="5"/>
        <v>483.05750011975346</v>
      </c>
      <c r="U14" s="92">
        <f>VLOOKUP(C14&amp;E14&amp;F14&amp;G14&amp;H14,'Basic Data'!$A$2:$J$335,8,0)/(1+$M$4+$P$2)</f>
        <v>1.5888309900698061</v>
      </c>
      <c r="V14" s="81">
        <f>VLOOKUP(C14&amp;E14&amp;F14&amp;G14&amp;H14,'Basic Data'!$A$2:$J$335,9,0)*(1+$K$5)</f>
        <v>69.488</v>
      </c>
      <c r="W14" s="72">
        <f>(532-VLOOKUP(C14&amp;E14&amp;F14&amp;G14&amp;H14,'Basic Data'!$A$2:$J$335,10,0))</f>
        <v>53</v>
      </c>
      <c r="X14" s="72">
        <f t="shared" si="6"/>
        <v>3.0077500000000001</v>
      </c>
      <c r="Y14" s="31" t="str">
        <f>VLOOKUP($C14&amp;1&amp;F14,Sheet3!$A$2:$E$221,5,0)&amp;CHAR(10)&amp;VLOOKUP($C14&amp;2&amp;G14,Sheet3!$A$2:$E$221,5,0)&amp;CHAR(10)&amp;VLOOKUP($C14&amp;3&amp;H14,Sheet3!$A$2:$E$221,5,0)</f>
        <v>버블수급 50%증가
-
일반스킬로 변경, 막타 피해 250%증가, 피해증가량 200%인것으로 추정됨</v>
      </c>
    </row>
    <row r="15" spans="3:25" ht="36">
      <c r="C15" s="84" t="s">
        <v>143</v>
      </c>
      <c r="D15" s="15">
        <v>0</v>
      </c>
      <c r="E15" s="15">
        <f t="shared" si="0"/>
        <v>10</v>
      </c>
      <c r="F15" s="15">
        <v>3</v>
      </c>
      <c r="G15" s="15">
        <v>2</v>
      </c>
      <c r="H15" s="15">
        <v>1</v>
      </c>
      <c r="I15" s="15">
        <f>16/(1+K15)/(1+쿨감)</f>
        <v>15.663240332843856</v>
      </c>
      <c r="J15" s="32">
        <f t="shared" si="7"/>
        <v>0</v>
      </c>
      <c r="K15" s="32">
        <f t="shared" si="8"/>
        <v>0</v>
      </c>
      <c r="L15" s="19">
        <v>0</v>
      </c>
      <c r="M15" s="30">
        <f ca="1">VLOOKUP(C15&amp;E15&amp;F15&amp;G15&amp;H15,'Basic Data'!$A$2:$G$335,7,0)*(5+IF(F15=3,1)+IF(H15=1,-1)+IF(H15=2,2))*(1+J15)*$S$2</f>
        <v>3917.7130890052354</v>
      </c>
      <c r="N15" s="30">
        <f ca="1">M15*(1+D15*0.2)</f>
        <v>3917.7130890052354</v>
      </c>
      <c r="O15" s="30">
        <f t="shared" ref="O15:P17" ca="1" si="9">M15*(2+$P$5)</f>
        <v>7835.4261780104707</v>
      </c>
      <c r="P15" s="30">
        <f t="shared" ca="1" si="9"/>
        <v>7835.4261780104707</v>
      </c>
      <c r="Q15" s="30">
        <f t="shared" ca="1" si="2"/>
        <v>4618.5018532272252</v>
      </c>
      <c r="R15" s="30">
        <f t="shared" ca="1" si="3"/>
        <v>4618.5018532272252</v>
      </c>
      <c r="S15" s="30">
        <f t="shared" ca="1" si="4"/>
        <v>294.8624776919757</v>
      </c>
      <c r="T15" s="30">
        <f t="shared" ca="1" si="5"/>
        <v>294.8624776919757</v>
      </c>
      <c r="U15" s="92">
        <f>VLOOKUP(C15&amp;E15&amp;F15&amp;G15&amp;H15,'Basic Data'!$A$2:$J$335,8,0)/(1+$M$4+$P$2)</f>
        <v>1.0824894307344413</v>
      </c>
      <c r="V15" s="81">
        <f>VLOOKUP(C15&amp;E15&amp;F15&amp;G15&amp;H15,'Basic Data'!$A$2:$J$335,9,0)*(1+$K$5)</f>
        <v>51.712000000000003</v>
      </c>
      <c r="W15" s="72">
        <f>(532-VLOOKUP(C15&amp;E15&amp;F15&amp;G15&amp;H15,'Basic Data'!$A$2:$J$335,10,0))</f>
        <v>45</v>
      </c>
      <c r="X15" s="72">
        <f t="shared" si="6"/>
        <v>2.8729687500000001</v>
      </c>
      <c r="Y15" s="31" t="str">
        <f>VLOOKUP($C15&amp;1&amp;F15,Sheet3!$A$2:$E$221,5,0)&amp;CHAR(10)&amp;VLOOKUP($C15&amp;2&amp;G15,Sheet3!$A$2:$E$221,5,0)&amp;CHAR(10)&amp;VLOOKUP($C15&amp;3&amp;H15,Sheet3!$A$2:$E$221,5,0)</f>
        <v>폭발회수 1회 증가, 지속시간1초 증가
-
폭발회수 3회 감소</v>
      </c>
    </row>
    <row r="16" spans="3:25" ht="36">
      <c r="C16" s="84" t="s">
        <v>132</v>
      </c>
      <c r="D16" s="15">
        <v>1</v>
      </c>
      <c r="E16" s="15">
        <f t="shared" si="0"/>
        <v>10</v>
      </c>
      <c r="F16" s="15">
        <v>3</v>
      </c>
      <c r="G16" s="15">
        <v>1</v>
      </c>
      <c r="H16" s="15">
        <v>2</v>
      </c>
      <c r="I16" s="15">
        <f>IF(G16=1,12,16)/(1+K16)/(1+쿨감)</f>
        <v>11.747430249632892</v>
      </c>
      <c r="J16" s="32">
        <f t="shared" si="7"/>
        <v>0</v>
      </c>
      <c r="K16" s="32">
        <f t="shared" si="8"/>
        <v>0</v>
      </c>
      <c r="L16" s="19">
        <f>IF(F16=3,0.15,0)</f>
        <v>0.15</v>
      </c>
      <c r="M16" s="30">
        <f ca="1">VLOOKUP(C16&amp;E16&amp;F16&amp;G16&amp;H16,'Basic Data'!$A$2:$G$335,7,0)*(1+J16)*$S$2</f>
        <v>2472.8626373626375</v>
      </c>
      <c r="N16" s="30">
        <f ca="1">M16*(1+D16*0.2)</f>
        <v>2967.4351648351649</v>
      </c>
      <c r="O16" s="30">
        <f t="shared" ca="1" si="9"/>
        <v>4945.7252747252751</v>
      </c>
      <c r="P16" s="30">
        <f t="shared" ca="1" si="9"/>
        <v>5934.8703296703297</v>
      </c>
      <c r="Q16" s="30">
        <f t="shared" ca="1" si="2"/>
        <v>3286.1302829505494</v>
      </c>
      <c r="R16" s="30">
        <f t="shared" ca="1" si="3"/>
        <v>4180.7511527274728</v>
      </c>
      <c r="S16" s="30">
        <f t="shared" ca="1" si="4"/>
        <v>279.73184033616553</v>
      </c>
      <c r="T16" s="30">
        <f t="shared" ca="1" si="5"/>
        <v>355.88644187592615</v>
      </c>
      <c r="U16" s="92">
        <f>VLOOKUP(C16&amp;E16&amp;F16&amp;G16&amp;H16,'Basic Data'!$A$2:$J$335,8,0)/(1+$M$4+$P$2)</f>
        <v>1.2761773670238934</v>
      </c>
      <c r="V16" s="81">
        <f>VLOOKUP(C16&amp;E16&amp;F16&amp;G16&amp;H16,'Basic Data'!$A$2:$J$335,9,0)*(1+$K$5)</f>
        <v>33.936</v>
      </c>
      <c r="W16" s="72">
        <f>(532-VLOOKUP(C16&amp;E16&amp;F16&amp;G16&amp;H16,'Basic Data'!$A$2:$J$335,10,0))</f>
        <v>19</v>
      </c>
      <c r="X16" s="72">
        <f t="shared" si="6"/>
        <v>1.6173750000000002</v>
      </c>
      <c r="Y16" s="31" t="str">
        <f>VLOOKUP($C16&amp;1&amp;F16,Sheet3!$A$2:$E$221,5,0)&amp;CHAR(10)&amp;VLOOKUP($C16&amp;2&amp;G16,Sheet3!$A$2:$E$221,5,0)&amp;CHAR(10)&amp;VLOOKUP($C16&amp;3&amp;H16,Sheet3!$A$2:$E$221,5,0)</f>
        <v>치명타 적중룔 15%증가
쿨 4초 감소
수속성, 막타뎀증 50% + 적 띄움</v>
      </c>
    </row>
    <row r="17" spans="3:25" ht="36">
      <c r="C17" s="84" t="s">
        <v>5</v>
      </c>
      <c r="D17" s="15">
        <v>0</v>
      </c>
      <c r="E17" s="15">
        <f t="shared" si="0"/>
        <v>10</v>
      </c>
      <c r="F17" s="15">
        <v>2</v>
      </c>
      <c r="G17" s="15">
        <v>2</v>
      </c>
      <c r="H17" s="15">
        <v>1</v>
      </c>
      <c r="I17" s="15">
        <f>IF(H17=1,20,30)/(1+K17)/(1+쿨감)</f>
        <v>19.57905041605482</v>
      </c>
      <c r="J17" s="32">
        <f t="shared" si="7"/>
        <v>0</v>
      </c>
      <c r="K17" s="32">
        <f t="shared" si="8"/>
        <v>0</v>
      </c>
      <c r="L17" s="19">
        <v>0</v>
      </c>
      <c r="M17" s="30">
        <f ca="1">VLOOKUP(C17&amp;E17&amp;F17&amp;G17&amp;H17,'Basic Data'!$A$2:$G$335,7,0)*(1+J17)*$S$2</f>
        <v>0</v>
      </c>
      <c r="N17" s="30">
        <f ca="1">M17*(1+D17*0.2)</f>
        <v>0</v>
      </c>
      <c r="O17" s="30">
        <f t="shared" ca="1" si="9"/>
        <v>0</v>
      </c>
      <c r="P17" s="30">
        <f t="shared" ca="1" si="9"/>
        <v>0</v>
      </c>
      <c r="Q17" s="30">
        <f t="shared" ca="1" si="2"/>
        <v>0</v>
      </c>
      <c r="R17" s="30">
        <f t="shared" ca="1" si="3"/>
        <v>0</v>
      </c>
      <c r="S17" s="30">
        <f t="shared" ca="1" si="4"/>
        <v>0</v>
      </c>
      <c r="T17" s="30">
        <f t="shared" ca="1" si="5"/>
        <v>0</v>
      </c>
      <c r="U17" s="92">
        <f>VLOOKUP(C17&amp;E17&amp;F17&amp;G17&amp;H17,'Basic Data'!$A$2:$J$335,8,0)/(1+$M$4+$P$2)</f>
        <v>0.6066266837085833</v>
      </c>
      <c r="V17" s="81">
        <f>VLOOKUP(C17&amp;E17&amp;F17&amp;G17&amp;H17,'Basic Data'!$A$2:$J$335,9,0)*(1+$K$5)</f>
        <v>0</v>
      </c>
      <c r="W17" s="72">
        <f>(532-VLOOKUP(C17&amp;E17&amp;F17&amp;G17&amp;H17,'Basic Data'!$A$2:$J$335,10,0))</f>
        <v>0</v>
      </c>
      <c r="X17" s="72">
        <f t="shared" si="6"/>
        <v>0</v>
      </c>
      <c r="Y17" s="31" t="str">
        <f>VLOOKUP($C17&amp;1&amp;F17,Sheet3!$A$2:$E$221,5,0)&amp;CHAR(10)&amp;VLOOKUP($C17&amp;2&amp;G17,Sheet3!$A$2:$E$221,5,0)&amp;CHAR(10)&amp;VLOOKUP($C17&amp;3&amp;H17,Sheet3!$A$2:$E$221,5,0)</f>
        <v>회피증가 15% 6초
파티원 치명타 적중률 25%증가 6초
쿨 10초 감소</v>
      </c>
    </row>
    <row r="18" spans="3:25" ht="36">
      <c r="C18" s="84" t="s">
        <v>144</v>
      </c>
      <c r="D18" s="15">
        <v>1</v>
      </c>
      <c r="E18" s="15">
        <f t="shared" si="0"/>
        <v>10</v>
      </c>
      <c r="F18" s="15">
        <v>3</v>
      </c>
      <c r="G18" s="15">
        <v>2</v>
      </c>
      <c r="H18" s="15">
        <v>2</v>
      </c>
      <c r="I18" s="15">
        <f>IF(G18=2,15,20)/(1+K18)/(1+쿨감)</f>
        <v>12.768945923514014</v>
      </c>
      <c r="J18" s="32">
        <f t="shared" si="7"/>
        <v>0</v>
      </c>
      <c r="K18" s="32">
        <f t="shared" si="8"/>
        <v>0.15</v>
      </c>
      <c r="L18" s="19">
        <f>IF(F18=1,0.15,0)</f>
        <v>0</v>
      </c>
      <c r="M18" s="30">
        <f ca="1">VLOOKUP(C18&amp;E18&amp;F18&amp;G18&amp;H18,'Basic Data'!$A$2:$G$335,7,0)*(1+J18)*$S$2
+IF(F18=3,(Master!E25+공격력)*Master!H25*4.2,0)*(1+J18)*$S$2</f>
        <v>7016.0386813186824</v>
      </c>
      <c r="N18" s="30">
        <f ca="1">(M18-IF(F18=3,(Master!E25+공격력)*Master!H25*4.2,0)*(1+J18)*$S$2)*(1+D18*0.2)
+IF(F18=3,(Master!E25+공격력)*Master!H25*4.2,0)*(1+J18)*$S$2</f>
        <v>8177.7547252747263</v>
      </c>
      <c r="O18" s="30">
        <f ca="1">(M18-IF(F18=3,(Master!E25+공격력)*Master!H25*4.2,0)*(1+J18)*$S$2)*(2+$P$5)
+IF(F18=3,(Master!E25+공격력)*Master!H25*4.2,0)*(1+J18)*$S$2</f>
        <v>12824.618901098902</v>
      </c>
      <c r="P18" s="30">
        <f ca="1">(N18-IF(F18=3,(Master!E25+공격력)*Master!H25*4.2,0)*(1+J18)*$S$2)*(2+$P$5)
+IF(F18=3,(Master!E25+공격력)*Master!H25*4.2,0)*(1+J18)*$S$2</f>
        <v>15148.05098901099</v>
      </c>
      <c r="Q18" s="30">
        <f t="shared" ca="1" si="2"/>
        <v>8055.0600852923089</v>
      </c>
      <c r="R18" s="30">
        <f t="shared" ca="1" si="3"/>
        <v>9982.2041111419785</v>
      </c>
      <c r="S18" s="30">
        <f t="shared" ca="1" si="4"/>
        <v>630.83203057966716</v>
      </c>
      <c r="T18" s="30">
        <f t="shared" ca="1" si="5"/>
        <v>781.75631496408403</v>
      </c>
      <c r="U18" s="92">
        <f>VLOOKUP(C18&amp;E18&amp;F18&amp;G18&amp;H18,'Basic Data'!$A$2:$J$335,8,0)/(1+$M$4+$P$2)</f>
        <v>3.2612329171172947</v>
      </c>
      <c r="V18" s="81">
        <f>VLOOKUP(C18&amp;E18&amp;F18&amp;G18&amp;H18,'Basic Data'!$A$2:$J$335,9,0)*(1+$K$5)</f>
        <v>72.72</v>
      </c>
      <c r="W18" s="72">
        <f>(532-VLOOKUP(C18&amp;E18&amp;F18&amp;G18&amp;H18,'Basic Data'!$A$2:$J$335,10,0))</f>
        <v>71</v>
      </c>
      <c r="X18" s="72">
        <f t="shared" si="6"/>
        <v>5.560365</v>
      </c>
      <c r="Y18" s="31" t="str">
        <f>VLOOKUP($C18&amp;1&amp;F18,Sheet3!$A$2:$E$221,5,0)&amp;CHAR(10)&amp;VLOOKUP($C18&amp;2&amp;G18,Sheet3!$A$2:$E$221,5,0)&amp;CHAR(10)&amp;VLOOKUP($C18&amp;3&amp;H18,Sheet3!$A$2:$E$221,5,0)</f>
        <v>화속성, 적중시마다 화상(갱신O 중첩X) 5초(틱당 초풍1타의 52.5%추정)
쿨 5초감소
지속시간 1초(4타) 증가, 이동성 개선</v>
      </c>
    </row>
    <row r="19" spans="3:25" ht="36">
      <c r="C19" s="84" t="s">
        <v>6</v>
      </c>
      <c r="D19" s="15">
        <v>1</v>
      </c>
      <c r="E19" s="15">
        <f t="shared" si="0"/>
        <v>10</v>
      </c>
      <c r="F19" s="15">
        <v>3</v>
      </c>
      <c r="G19" s="15">
        <v>2</v>
      </c>
      <c r="H19" s="15">
        <v>2</v>
      </c>
      <c r="I19" s="15">
        <f>IF(H19=1,24,18)/(1+K19)/(1+쿨감)</f>
        <v>17.621145374449338</v>
      </c>
      <c r="J19" s="32">
        <f t="shared" si="7"/>
        <v>0</v>
      </c>
      <c r="K19" s="32">
        <f t="shared" si="8"/>
        <v>0</v>
      </c>
      <c r="L19" s="19">
        <v>0</v>
      </c>
      <c r="M19" s="30">
        <f ca="1">VLOOKUP(C19&amp;E19&amp;F19&amp;G19&amp;H19,'Basic Data'!$A$2:$G$335,7,0)*(1+J19)*IF(H19=1,2,1)*$S$2
+IF(F19=3,((Master!G26+공격력)*Master!H26+(Master!G27+공격력)*Master!H27)/3,0)*(1+J19)*$S$2</f>
        <v>3208.4970666666668</v>
      </c>
      <c r="N19" s="30">
        <f ca="1">(M19-IF(F19=3,((Master!G26+공격력)*Master!H26+(Master!G27+공격력)*Master!H27)/3,0)*(1+J19)*$S$2)*(1+D19*0.2)
+IF(F19=3,((Master!G26+공격력)*Master!H26+(Master!G27+공격력)*Master!H27)/3,0)*(1+J19)*$S$2</f>
        <v>3726.7927466666661</v>
      </c>
      <c r="O19" s="30">
        <f ca="1">(M19-IF(F19=3,((Master!G26+공격력)*Master!H26+(Master!G27+공격력)*Master!H27)/3,0)*(1+J19)*$S$2)*(2+$P$5)
+IF(F19=3,((Master!G26+공격력)*Master!H26+(Master!G27+공격력)*Master!H27)/3,0)*(1+J19)*$S$2</f>
        <v>5799.9754666666668</v>
      </c>
      <c r="P19" s="30">
        <f ca="1">(N19-IF(F19=3,((Master!G26+공격력)*Master!H26+(Master!G27+공격력)*Master!H27)/3,0)*(1+J19)*$S$2)*(2+$P$5)
+IF(F19=3,((Master!G26+공격력)*Master!H26+(Master!G27+공격력)*Master!H27)/3,0)*(1+J19)*$S$2</f>
        <v>6836.5668266666653</v>
      </c>
      <c r="Q19" s="30">
        <f t="shared" ca="1" si="2"/>
        <v>3672.0529484234667</v>
      </c>
      <c r="R19" s="30">
        <f t="shared" ca="1" si="3"/>
        <v>4531.8417311748262</v>
      </c>
      <c r="S19" s="30">
        <f t="shared" ca="1" si="4"/>
        <v>208.38900482303174</v>
      </c>
      <c r="T19" s="30">
        <f t="shared" ca="1" si="5"/>
        <v>257.18201824417139</v>
      </c>
      <c r="U19" s="92">
        <f>VLOOKUP(C19&amp;E19&amp;F19&amp;G19&amp;H19,'Basic Data'!$A$2:$J$335,8,0)/(1+$M$4+$P$2)</f>
        <v>1.0323468685478321</v>
      </c>
      <c r="V19" s="81">
        <f>VLOOKUP(C19&amp;E19&amp;F19&amp;G19&amp;H19,'Basic Data'!$A$2:$J$335,9,0)*(1+$K$5)</f>
        <v>30.704000000000001</v>
      </c>
      <c r="W19" s="72">
        <f>(532-VLOOKUP(C19&amp;E19&amp;F19&amp;G19&amp;H19,'Basic Data'!$A$2:$J$335,10,0))</f>
        <v>22</v>
      </c>
      <c r="X19" s="72">
        <f t="shared" si="6"/>
        <v>1.2485000000000002</v>
      </c>
      <c r="Y19" s="31" t="str">
        <f>VLOOKUP($C19&amp;1&amp;F19,Sheet3!$A$2:$E$221,5,0)&amp;CHAR(10)&amp;VLOOKUP($C19&amp;2&amp;G19,Sheet3!$A$2:$E$221,5,0)&amp;CHAR(10)&amp;VLOOKUP($C19&amp;3&amp;H19,Sheet3!$A$2:$E$221,5,0)</f>
        <v>화상 5초(기본 총데미지의 1/3추정)
-
공속 20%증가, 이동거리 5m증가</v>
      </c>
    </row>
    <row r="20" spans="3:25" ht="36">
      <c r="C20" s="84" t="s">
        <v>7</v>
      </c>
      <c r="D20" s="15">
        <v>1</v>
      </c>
      <c r="E20" s="15">
        <f t="shared" si="0"/>
        <v>10</v>
      </c>
      <c r="F20" s="15">
        <v>3</v>
      </c>
      <c r="G20" s="15">
        <v>3</v>
      </c>
      <c r="H20" s="15">
        <v>2</v>
      </c>
      <c r="I20" s="15">
        <f>IF(H20=2,20,25)/(1+K20)/(1+쿨감)</f>
        <v>17.025261231352019</v>
      </c>
      <c r="J20" s="32">
        <f t="shared" si="7"/>
        <v>0</v>
      </c>
      <c r="K20" s="32">
        <f t="shared" si="8"/>
        <v>0.15</v>
      </c>
      <c r="L20" s="19">
        <v>0</v>
      </c>
      <c r="M20" s="30">
        <f ca="1">VLOOKUP(C20&amp;E20&amp;F20&amp;G20&amp;H20,'Basic Data'!$A$2:$G$335,7,0)*(1+J20)*$S$2</f>
        <v>1219.9714285714285</v>
      </c>
      <c r="N20" s="30">
        <f ca="1">M20*(1+D20*0.2)</f>
        <v>1463.9657142857143</v>
      </c>
      <c r="O20" s="30">
        <f ca="1">M20*(2+$P$5)</f>
        <v>2439.9428571428571</v>
      </c>
      <c r="P20" s="30">
        <f ca="1">N20*(2+$P$5)</f>
        <v>2927.9314285714286</v>
      </c>
      <c r="Q20" s="30">
        <f t="shared" ca="1" si="2"/>
        <v>1438.1962578</v>
      </c>
      <c r="R20" s="30">
        <f t="shared" ca="1" si="3"/>
        <v>1842.9527665028572</v>
      </c>
      <c r="S20" s="30">
        <f t="shared" ca="1" si="4"/>
        <v>84.474254947205253</v>
      </c>
      <c r="T20" s="30">
        <f t="shared" ca="1" si="5"/>
        <v>108.24813443150344</v>
      </c>
      <c r="U20" s="92">
        <f>VLOOKUP(C20&amp;E20&amp;F20&amp;G20&amp;H20,'Basic Data'!$A$2:$J$335,8,0)/(1+$M$4+$P$2)</f>
        <v>0.55451774653426422</v>
      </c>
      <c r="V20" s="81">
        <f>VLOOKUP(C20&amp;E20&amp;F20&amp;G20&amp;H20,'Basic Data'!$A$2:$J$335,9,0)*(1+$K$5)</f>
        <v>61.408000000000001</v>
      </c>
      <c r="W20" s="72">
        <f>(532-VLOOKUP(C20&amp;E20&amp;F20&amp;G20&amp;H20,'Basic Data'!$A$2:$J$335,10,0))</f>
        <v>19</v>
      </c>
      <c r="X20" s="72">
        <f t="shared" si="6"/>
        <v>1.1159887500000001</v>
      </c>
      <c r="Y20" s="31" t="str">
        <f>VLOOKUP($C20&amp;1&amp;F20,Sheet3!$A$2:$E$221,5,0)&amp;CHAR(10)&amp;VLOOKUP($C20&amp;2&amp;G20,Sheet3!$A$2:$E$221,5,0)&amp;CHAR(10)&amp;VLOOKUP($C20&amp;3&amp;H20,Sheet3!$A$2:$E$221,5,0)</f>
        <v>버블수급 25%증가
지속시간 2초증가
쿨 5초 감소</v>
      </c>
    </row>
    <row r="21" spans="3:25" ht="36">
      <c r="C21" s="84" t="s">
        <v>8</v>
      </c>
      <c r="D21" s="15">
        <v>1</v>
      </c>
      <c r="E21" s="15">
        <f t="shared" si="0"/>
        <v>10</v>
      </c>
      <c r="F21" s="15">
        <v>2</v>
      </c>
      <c r="G21" s="15">
        <v>1</v>
      </c>
      <c r="H21" s="15">
        <v>1</v>
      </c>
      <c r="I21" s="15">
        <f>25/(1+K21)/(1+쿨감)</f>
        <v>24.473813020068526</v>
      </c>
      <c r="J21" s="32">
        <f t="shared" si="7"/>
        <v>0</v>
      </c>
      <c r="K21" s="32">
        <f t="shared" si="8"/>
        <v>0</v>
      </c>
      <c r="L21" s="19">
        <v>0</v>
      </c>
      <c r="M21" s="30">
        <f ca="1">VLOOKUP(C21&amp;E21&amp;F21&amp;G21&amp;H21,'Basic Data'!$A$2:$G$335,7,0)*(1+J21)*$S$2
+IF(G21=3,SUMPRODUCT(Master!G29:G32+공격력,Master!H29:H32)*0.25,0)*(1+J21)*$S$2</f>
        <v>8270.1903295299744</v>
      </c>
      <c r="N21" s="30">
        <f ca="1">(M21-IF(G21=3,SUMPRODUCT(Master!G29:G32+공격력,Master!H29:H32)*0.25,0)*(1+J21)*$S$2)*(1+D21*0.2)
+IF(G21=3,SUMPRODUCT(Master!G29:G32+공격력,Master!H29:H32)*0.25,0)*(1+J21)*$S$2</f>
        <v>9924.2283954359682</v>
      </c>
      <c r="O21" s="30">
        <f ca="1">M21*(2+$P$5)</f>
        <v>16540.380659059949</v>
      </c>
      <c r="P21" s="30">
        <f ca="1">N21*(2+$P$5)</f>
        <v>19848.456790871936</v>
      </c>
      <c r="Q21" s="30">
        <f t="shared" ca="1" si="2"/>
        <v>9749.5371651053083</v>
      </c>
      <c r="R21" s="30">
        <f t="shared" ca="1" si="3"/>
        <v>12493.382869761246</v>
      </c>
      <c r="S21" s="30">
        <f t="shared" ca="1" si="4"/>
        <v>398.3660885662029</v>
      </c>
      <c r="T21" s="30">
        <f t="shared" ca="1" si="5"/>
        <v>510.47962405844453</v>
      </c>
      <c r="U21" s="92">
        <f>VLOOKUP(C21&amp;E21&amp;F21&amp;G21&amp;H21,'Basic Data'!$A$2:$J$335,8,0)/(1+$M$4+$P$2)</f>
        <v>1.6409399272441243</v>
      </c>
      <c r="V21" s="81">
        <f>VLOOKUP(C21&amp;E21&amp;F21&amp;G21&amp;H21,'Basic Data'!$A$2:$J$335,9,0)*(1+$K$5)</f>
        <v>77.568000000000012</v>
      </c>
      <c r="W21" s="72">
        <f>(532-VLOOKUP(C21&amp;E21&amp;F21&amp;G21&amp;H21,'Basic Data'!$A$2:$J$335,10,0))</f>
        <v>60</v>
      </c>
      <c r="X21" s="72">
        <f t="shared" si="6"/>
        <v>2.4516</v>
      </c>
      <c r="Y21" s="31" t="str">
        <f>VLOOKUP($C21&amp;1&amp;F21,Sheet3!$A$2:$E$221,5,0)&amp;CHAR(10)&amp;VLOOKUP($C21&amp;2&amp;G21,Sheet3!$A$2:$E$221,5,0)&amp;CHAR(10)&amp;VLOOKUP($C21&amp;3&amp;H21,Sheet3!$A$2:$E$221,5,0)</f>
        <v>-
공격범위, 공속 20%증가
공격형태 변경. 시전시간동안 받는피해 30%증가</v>
      </c>
    </row>
    <row r="22" spans="3:25" ht="36.75" thickBot="1">
      <c r="C22" s="88" t="s">
        <v>131</v>
      </c>
      <c r="D22" s="26">
        <v>0</v>
      </c>
      <c r="E22" s="26">
        <f t="shared" si="0"/>
        <v>10</v>
      </c>
      <c r="F22" s="26">
        <v>1</v>
      </c>
      <c r="G22" s="26">
        <v>2</v>
      </c>
      <c r="H22" s="26">
        <v>1</v>
      </c>
      <c r="I22" s="26">
        <f>IF(G22=2,21,36)/(1+K22)/(1+쿨감)</f>
        <v>20.558002936857562</v>
      </c>
      <c r="J22" s="27">
        <f t="shared" si="7"/>
        <v>0</v>
      </c>
      <c r="K22" s="27">
        <f t="shared" si="8"/>
        <v>0</v>
      </c>
      <c r="L22" s="28">
        <v>0</v>
      </c>
      <c r="M22" s="29">
        <f ca="1">VLOOKUP(C22&amp;E22&amp;F22&amp;G22&amp;H22,'Basic Data'!$A$2:$G$335,7,0)*(1+J22)*$S$2</f>
        <v>6862.9252747252749</v>
      </c>
      <c r="N22" s="29">
        <f ca="1">M22*(1+D22*0.2)</f>
        <v>6862.9252747252749</v>
      </c>
      <c r="O22" s="29">
        <f ca="1">M22*(2+$P$5+IF(H22=1,0.5,0))</f>
        <v>17157.313186813186</v>
      </c>
      <c r="P22" s="29">
        <f ca="1">N22*(2+$P$5+IF(H22=1,0.5,0))</f>
        <v>17157.313186813186</v>
      </c>
      <c r="Q22" s="29">
        <f t="shared" ca="1" si="2"/>
        <v>8704.3545012758241</v>
      </c>
      <c r="R22" s="29">
        <f t="shared" ca="1" si="3"/>
        <v>8704.3545012758241</v>
      </c>
      <c r="S22" s="29">
        <f t="shared" ca="1" si="4"/>
        <v>423.40467252634545</v>
      </c>
      <c r="T22" s="30">
        <f t="shared" ca="1" si="5"/>
        <v>423.40467252634545</v>
      </c>
      <c r="U22" s="93">
        <f>VLOOKUP(C22&amp;E22&amp;F22&amp;G22&amp;H22,'Basic Data'!$A$2:$J$335,8,0)/(1+$M$4+$P$2)</f>
        <v>0.72067643299577289</v>
      </c>
      <c r="V22" s="82">
        <f>VLOOKUP(C22&amp;E22&amp;F22&amp;G22&amp;H22,'Basic Data'!$A$2:$J$335,9,0)*(1+$K$5)</f>
        <v>250.48000000000002</v>
      </c>
      <c r="W22" s="71" t="s">
        <v>251</v>
      </c>
      <c r="X22" s="71" t="s">
        <v>251</v>
      </c>
      <c r="Y22" s="33" t="str">
        <f>VLOOKUP($C22&amp;1&amp;F22,Sheet3!$A$2:$E$221,5,0)&amp;CHAR(10)&amp;VLOOKUP($C22&amp;2&amp;G22,Sheet3!$A$2:$E$221,5,0)&amp;CHAR(10)&amp;VLOOKUP($C22&amp;3&amp;H22,Sheet3!$A$2:$E$221,5,0)</f>
        <v>받는피해 10%감소
쿨 15초 감소, 지속시간 4초감소
공격범위 20%증가, 내연의 치명타 피해 50%증가</v>
      </c>
    </row>
    <row r="23" spans="3:25" ht="36.75" thickTop="1">
      <c r="C23" s="84" t="s">
        <v>9</v>
      </c>
      <c r="D23" s="15">
        <v>1</v>
      </c>
      <c r="E23" s="15">
        <f t="shared" si="0"/>
        <v>10</v>
      </c>
      <c r="F23" s="15">
        <v>1</v>
      </c>
      <c r="G23" s="15">
        <v>2</v>
      </c>
      <c r="H23" s="15">
        <v>2</v>
      </c>
      <c r="I23" s="15">
        <f>16/(1+K23)/(1+쿨감)</f>
        <v>15.663240332843856</v>
      </c>
      <c r="J23" s="32">
        <f t="shared" si="7"/>
        <v>0</v>
      </c>
      <c r="K23" s="32">
        <f t="shared" si="8"/>
        <v>0</v>
      </c>
      <c r="L23" s="19">
        <v>0</v>
      </c>
      <c r="M23" s="30">
        <f ca="1">VLOOKUP(C23&amp;E23&amp;F23&amp;G23&amp;H23,'Basic Data'!$A$2:$G$335,7,0)*(1+J23)*(1+오의뎀증)*$S$2</f>
        <v>3318.6560639999998</v>
      </c>
      <c r="N23" s="30">
        <f ca="1">M23*(1+D23*0.2)</f>
        <v>3982.3872767999997</v>
      </c>
      <c r="O23" s="30">
        <f ca="1">M23*(2+$P$5)</f>
        <v>6637.3121279999996</v>
      </c>
      <c r="P23" s="30">
        <f ca="1">N23*(2+$P$5)</f>
        <v>7964.7745535999993</v>
      </c>
      <c r="Q23" s="30">
        <f t="shared" ca="1" si="2"/>
        <v>3912.2873047601279</v>
      </c>
      <c r="R23" s="30">
        <f t="shared" ca="1" si="3"/>
        <v>5013.3357478561529</v>
      </c>
      <c r="S23" s="30">
        <f t="shared" ca="1" si="4"/>
        <v>249.77509261327944</v>
      </c>
      <c r="T23" s="95">
        <f t="shared" ca="1" si="5"/>
        <v>320.07015415219126</v>
      </c>
      <c r="U23" s="92">
        <f>VLOOKUP(C23&amp;E23&amp;F23&amp;G23&amp;H23,'Basic Data'!$A$2:$J$335,8,0)/(1+$M$4+$P$2)</f>
        <v>1.2456985547143853</v>
      </c>
      <c r="V23" s="81">
        <f>VLOOKUP(C23&amp;E23&amp;F23&amp;G23&amp;H23,'Basic Data'!$A$2:$J$335,9,0)</f>
        <v>-100</v>
      </c>
      <c r="W23" s="72">
        <f>(532-VLOOKUP(C23&amp;E23&amp;F23&amp;G23&amp;H23,'Basic Data'!$A$2:$J$335,10,0))</f>
        <v>37</v>
      </c>
      <c r="X23" s="72">
        <f t="shared" ref="X23:X28" si="10">W23/I23</f>
        <v>2.3622187500000003</v>
      </c>
      <c r="Y23" s="31" t="str">
        <f>VLOOKUP($C23&amp;1&amp;F23,Sheet3!$A$2:$E$221,5,0)&amp;CHAR(10)&amp;VLOOKUP($C23&amp;2&amp;G23,Sheet3!$A$2:$E$221,5,0)&amp;CHAR(10)&amp;VLOOKUP($C23&amp;3&amp;H23,Sheet3!$A$2:$E$221,5,0)</f>
        <v>-
30%로 버블획득
적을 날려보내지 않고 기절</v>
      </c>
    </row>
    <row r="24" spans="3:25" ht="36">
      <c r="C24" s="84" t="s">
        <v>10</v>
      </c>
      <c r="D24" s="15">
        <v>1</v>
      </c>
      <c r="E24" s="15">
        <f t="shared" si="0"/>
        <v>10</v>
      </c>
      <c r="F24" s="15">
        <v>2</v>
      </c>
      <c r="G24" s="15">
        <v>1</v>
      </c>
      <c r="H24" s="15">
        <v>1</v>
      </c>
      <c r="I24" s="15">
        <f>24/(1+K24)/(1+쿨감)</f>
        <v>23.494860499265783</v>
      </c>
      <c r="J24" s="32">
        <f>IF(OR($V$3="화룡",$W$3="화룡"),20%,0)+IF($X$3="화룡",15%,0)</f>
        <v>0</v>
      </c>
      <c r="K24" s="32">
        <f t="shared" si="8"/>
        <v>0</v>
      </c>
      <c r="L24" s="19">
        <v>0</v>
      </c>
      <c r="M24" s="30">
        <f ca="1">(VLOOKUP(C24&amp;E24&amp;F24&amp;G24&amp;H24,'Basic Data'!$A$2:$G$335,7,0)+IF(H24=2,(Master!G49+공격력)*Master!H49)*(1+$P$5))*(1+J24)*(1+오의뎀증)*$S$2</f>
        <v>8462.7320091428592</v>
      </c>
      <c r="N24" s="30">
        <f ca="1">M24*(1+D24*0.2)</f>
        <v>10155.27841097143</v>
      </c>
      <c r="O24" s="30">
        <f ca="1">(M24-IF(H24=2,(Master!G49+공격력)*Master!H49)*(1+$P$5))*(IF(G24=2,3,2)+$P$5)</f>
        <v>16925.464018285718</v>
      </c>
      <c r="P24" s="30">
        <f ca="1">(N24-IF(H24=2,(Master!G49+공격력)*Master!H49)*(1+$P$5)*(1+D24*0.2))*(IF(G24=2,3,2)+$P$5)</f>
        <v>20310.556821942861</v>
      </c>
      <c r="Q24" s="30">
        <f t="shared" ca="1" si="2"/>
        <v>9976.5201227423076</v>
      </c>
      <c r="R24" s="30">
        <f t="shared" ca="1" si="3"/>
        <v>12784.246420168482</v>
      </c>
      <c r="S24" s="30">
        <f t="shared" ca="1" si="4"/>
        <v>424.62563772421953</v>
      </c>
      <c r="T24" s="30">
        <f t="shared" ca="1" si="5"/>
        <v>544.12948825842102</v>
      </c>
      <c r="U24" s="92">
        <f>VLOOKUP(C24&amp;E24&amp;F24&amp;G24&amp;H24,'Basic Data'!$A$2:$J$335,8,0)/(1+$M$4+$P$2)</f>
        <v>1.3744961164093992</v>
      </c>
      <c r="V24" s="81">
        <f>VLOOKUP(C24&amp;E24&amp;F24&amp;G24&amp;H24,'Basic Data'!$A$2:$J$335,9,0)</f>
        <v>-200</v>
      </c>
      <c r="W24" s="72">
        <f>(532-VLOOKUP(C24&amp;E24&amp;F24&amp;G24&amp;H24,'Basic Data'!$A$2:$J$335,10,0))</f>
        <v>70</v>
      </c>
      <c r="X24" s="72">
        <f t="shared" si="10"/>
        <v>2.9793750000000001</v>
      </c>
      <c r="Y24" s="31" t="str">
        <f>VLOOKUP($C24&amp;1&amp;F24,Sheet3!$A$2:$E$221,5,0)&amp;CHAR(10)&amp;VLOOKUP($C24&amp;2&amp;G24,Sheet3!$A$2:$E$221,5,0)&amp;CHAR(10)&amp;VLOOKUP($C24&amp;3&amp;H24,Sheet3!$A$2:$E$221,5,0)</f>
        <v>40%로 버블획득
-
기모으기 하는동안 화염뎀 최대 9틱(3402뎀)</v>
      </c>
    </row>
    <row r="25" spans="3:25" ht="36">
      <c r="C25" s="84" t="s">
        <v>11</v>
      </c>
      <c r="D25" s="15">
        <v>1</v>
      </c>
      <c r="E25" s="15">
        <f t="shared" si="0"/>
        <v>10</v>
      </c>
      <c r="F25" s="15">
        <v>2</v>
      </c>
      <c r="G25" s="15">
        <v>3</v>
      </c>
      <c r="H25" s="15">
        <v>1</v>
      </c>
      <c r="I25" s="15">
        <f>16/(1+K25)/(1+쿨감)</f>
        <v>15.663240332843856</v>
      </c>
      <c r="J25" s="32">
        <f>IF(OR($V$3=C25,$W$3=C25),20%,0)+IF($X$3=C25,15%,0)</f>
        <v>0</v>
      </c>
      <c r="K25" s="32">
        <f t="shared" si="8"/>
        <v>0</v>
      </c>
      <c r="L25" s="19">
        <f>IF(F25=1,0.15,0)</f>
        <v>0</v>
      </c>
      <c r="M25" s="30">
        <f ca="1">VLOOKUP(C25&amp;E25&amp;F25&amp;G25&amp;H25,'Basic Data'!$A$2:$G$335,7,0)*(1+J25)*(1+오의뎀증)*$S$2
+IF(F25=2,(Master!G50+공격력)*Master!H50*0.1,0)+IF(H25=1,(Master!G50+공격력)*Master!H50*0.4,0)*(1+J25)*(1+오의뎀증)*$S$2</f>
        <v>3653.8956948395607</v>
      </c>
      <c r="N25" s="30">
        <f ca="1">VLOOKUP(C25&amp;E25&amp;F25&amp;G25&amp;H25,'Basic Data'!$A$2:$G$335,7,0)*(1+J25)*(1+오의뎀증)*$S$2*(1+D25*0.2)
+IF(F25=2,(Master!G50+공격력)*Master!H50*0.1,0)+IF(H25=1,(Master!G50+공격력)*Master!H50*0.4,0)*(1+J25)*(1+오의뎀증)*$S$2</f>
        <v>4108.1245931604399</v>
      </c>
      <c r="O25" s="30">
        <f ca="1">M25*(2+$P$5)</f>
        <v>7307.7913896791215</v>
      </c>
      <c r="P25" s="30">
        <f ca="1">N25*(2+$P$5)</f>
        <v>8216.2491863208797</v>
      </c>
      <c r="Q25" s="30">
        <f t="shared" ca="1" si="2"/>
        <v>4307.4935950453764</v>
      </c>
      <c r="R25" s="30">
        <f t="shared" ca="1" si="3"/>
        <v>5171.6235634640352</v>
      </c>
      <c r="S25" s="30">
        <f t="shared" ca="1" si="4"/>
        <v>275.00654420867829</v>
      </c>
      <c r="T25" s="30">
        <f t="shared" ca="1" si="5"/>
        <v>330.17584187990701</v>
      </c>
      <c r="U25" s="92">
        <f>VLOOKUP(C25&amp;E25&amp;F25&amp;G25&amp;H25,'Basic Data'!$A$2:$J$335,8,0)/(1+$M$4+$P$2)</f>
        <v>0.50830793432307586</v>
      </c>
      <c r="V25" s="81">
        <f>VLOOKUP(C25&amp;E25&amp;F25&amp;G25&amp;H25,'Basic Data'!$A$2:$J$335,9,0)</f>
        <v>-100</v>
      </c>
      <c r="W25" s="72">
        <f>(532-VLOOKUP(C25&amp;E25&amp;F25&amp;G25&amp;H25,'Basic Data'!$A$2:$J$335,10,0))</f>
        <v>38</v>
      </c>
      <c r="X25" s="72">
        <f t="shared" si="10"/>
        <v>2.4260625</v>
      </c>
      <c r="Y25" s="31" t="str">
        <f>VLOOKUP($C25&amp;1&amp;F25,Sheet3!$A$2:$E$221,5,0)&amp;CHAR(10)&amp;VLOOKUP($C25&amp;2&amp;G25,Sheet3!$A$2:$E$221,5,0)&amp;CHAR(10)&amp;VLOOKUP($C25&amp;3&amp;H25,Sheet3!$A$2:$E$221,5,0)</f>
        <v>4초간 전격(기본데미지의 10%로 추정)
전진하며 피해
장판생성 전류 피해 테스트 필요(풀히트시 기본피해의 40%로 추정)</v>
      </c>
    </row>
    <row r="26" spans="3:25" s="44" customFormat="1" ht="36">
      <c r="C26" s="85" t="s">
        <v>12</v>
      </c>
      <c r="D26" s="39">
        <v>1</v>
      </c>
      <c r="E26" s="39">
        <f t="shared" si="0"/>
        <v>10</v>
      </c>
      <c r="F26" s="39">
        <v>3</v>
      </c>
      <c r="G26" s="39">
        <v>3</v>
      </c>
      <c r="H26" s="39">
        <v>1</v>
      </c>
      <c r="I26" s="39">
        <f>24/(1+K26)/(1+쿨감)</f>
        <v>23.494860499265783</v>
      </c>
      <c r="J26" s="40">
        <f>IF(OR($V$3=C26,$W$3=C26),20%,0)+IF($X$3=C26,15%,0)</f>
        <v>0</v>
      </c>
      <c r="K26" s="40">
        <f t="shared" si="8"/>
        <v>0</v>
      </c>
      <c r="L26" s="41">
        <v>0</v>
      </c>
      <c r="M26" s="42">
        <f ca="1">(VLOOKUP(C26&amp;E26&amp;F26&amp;G26&amp;H26,'Basic Data'!$A$2:$G$335,7,0)*(1+J26)*IF(G26=3,21,IF(G26=1,23.9,17)+L26)
+IF(H26=2,VLOOKUP(C26&amp;E26&amp;F26&amp;G26&amp;H26,'Basic Data'!$A$2:$G$335,7,0)*17*0.6,0))
*(1+오의뎀증)*$S$2</f>
        <v>8115.0370560000001</v>
      </c>
      <c r="N26" s="42">
        <f ca="1">M26*(1+D26*0.2)</f>
        <v>9738.0444671999994</v>
      </c>
      <c r="O26" s="42">
        <f ca="1">M26*(2+$P$5+IF(F26=3,0.1,0))</f>
        <v>17041.577817600002</v>
      </c>
      <c r="P26" s="42">
        <f ca="1">N26*(2+$P$5+IF(F26=3,0.1,0))</f>
        <v>20449.89338112</v>
      </c>
      <c r="Q26" s="42">
        <f t="shared" ca="1" si="2"/>
        <v>9711.7898878127235</v>
      </c>
      <c r="R26" s="30">
        <f t="shared" ca="1" si="3"/>
        <v>12511.095778488867</v>
      </c>
      <c r="S26" s="42">
        <f t="shared" ca="1" si="4"/>
        <v>413.3580571000291</v>
      </c>
      <c r="T26" s="30">
        <f t="shared" ca="1" si="5"/>
        <v>532.5035140719325</v>
      </c>
      <c r="U26" s="92">
        <f>VLOOKUP(C26&amp;E26&amp;F26&amp;G26&amp;H26,'Basic Data'!$A$2:$J$335,8,0)/(1+$M$4+$P$2)</f>
        <v>2.0135679874151986</v>
      </c>
      <c r="V26" s="81">
        <f>VLOOKUP(C26&amp;E26&amp;F26&amp;G26&amp;H26,'Basic Data'!$A$2:$J$335,9,0)</f>
        <v>-200</v>
      </c>
      <c r="W26" s="72">
        <f>(532-VLOOKUP(C26&amp;E26&amp;F26&amp;G26&amp;H26,'Basic Data'!$A$2:$J$335,10,0))</f>
        <v>92</v>
      </c>
      <c r="X26" s="72">
        <f t="shared" si="10"/>
        <v>3.9157500000000005</v>
      </c>
      <c r="Y26" s="43" t="str">
        <f>VLOOKUP($C26&amp;1&amp;F26,Sheet3!$A$2:$E$221,5,0)&amp;CHAR(10)&amp;VLOOKUP($C26&amp;2&amp;G26,Sheet3!$A$2:$E$221,5,0)&amp;CHAR(10)&amp;VLOOKUP($C26&amp;3&amp;H26,Sheet3!$A$2:$E$221,5,0)</f>
        <v>뇌속성, 치명타피해 10%증가, 치명확률 30%증가 (불확실)
이속 13% 증가, 지속 시간 1초(4틱) 증가
일반스킬로 변경, 제자리에서 4초간 유지</v>
      </c>
    </row>
    <row r="27" spans="3:25" ht="36.75" thickBot="1">
      <c r="C27" s="88" t="s">
        <v>13</v>
      </c>
      <c r="D27" s="26">
        <v>1</v>
      </c>
      <c r="E27" s="26">
        <f t="shared" si="0"/>
        <v>10</v>
      </c>
      <c r="F27" s="26">
        <v>1</v>
      </c>
      <c r="G27" s="26">
        <v>1</v>
      </c>
      <c r="H27" s="26">
        <v>2</v>
      </c>
      <c r="I27" s="26">
        <f>30/(1+K27)/(1+쿨감)</f>
        <v>29.368575624082229</v>
      </c>
      <c r="J27" s="27">
        <f>IF(OR($V$3=C27,$W$3=C27),20%,0)+IF($X$3=C27,15%,0)</f>
        <v>0</v>
      </c>
      <c r="K27" s="27">
        <f t="shared" si="8"/>
        <v>0</v>
      </c>
      <c r="L27" s="28">
        <v>0</v>
      </c>
      <c r="M27" s="29">
        <f ca="1">VLOOKUP(C27&amp;E27&amp;F27&amp;G27&amp;H27,'Basic Data'!$A$2:$G$335,7,0)*(1+J27)*(1+오의뎀증)*$S$2
+IF(G27=3,SUMPRODUCT(Master!G52:G54+공격력,Master!H52:H54)*IF(Caculator!H27=2,6,3)*10%,0)*(1+J27)*(1+오의뎀증)*$S$2</f>
        <v>12652.758751799207</v>
      </c>
      <c r="N27" s="29">
        <f ca="1">(M27-IF(G27=3,SUMPRODUCT(Master!G52:G54+공격력,Master!H52:H54)*IF(Caculator!H27=2,6,3)*10%,0))*(1+D27*0.2)
+IF(G27=3,SUMPRODUCT(Master!G52:G54+공격력,Master!H52:H54)*IF(Caculator!H27=2,6,3)*10%,0)</f>
        <v>15183.310502159047</v>
      </c>
      <c r="O27" s="29">
        <f ca="1">(M27-IF(G27=3,SUMPRODUCT(Master!G52:G54+공격력,Master!H52:H54)*IF(Caculator!H27=2,6,3)*10%,0))*(2+$P$5)
+IF(G27=3,SUMPRODUCT(Master!G52:G54+공격력,Master!H52:H54)*IF(Caculator!H27=2,6,3)*10%,0)</f>
        <v>25305.517503598414</v>
      </c>
      <c r="P27" s="29">
        <f ca="1">(N27-IF(G27=3,SUMPRODUCT(Master!G52:G54+공격력,Master!H52:H54)*IF(Caculator!H27=2,6,3)*10%,0))*(2+$P$5)
+IF(G27=3,SUMPRODUCT(Master!G52:G54+공격력,Master!H52:H54)*IF(Caculator!H27=2,6,3)*10%,0)</f>
        <v>30366.621004318094</v>
      </c>
      <c r="Q27" s="29">
        <f t="shared" ca="1" si="2"/>
        <v>14916.046279044795</v>
      </c>
      <c r="R27" s="29">
        <f t="shared" ca="1" si="3"/>
        <v>19113.920375026475</v>
      </c>
      <c r="S27" s="29">
        <f t="shared" ca="1" si="4"/>
        <v>507.89137580147531</v>
      </c>
      <c r="T27" s="29">
        <f t="shared" ca="1" si="5"/>
        <v>650.82898876965157</v>
      </c>
      <c r="U27" s="93">
        <f>VLOOKUP(C27&amp;E27&amp;F27&amp;G27&amp;H27,'Basic Data'!$A$2:$J$335,8,0)/(1+$M$4+$P$2)</f>
        <v>2.9987218562579927</v>
      </c>
      <c r="V27" s="82">
        <f>VLOOKUP(C27&amp;E27&amp;F27&amp;G27&amp;H27,'Basic Data'!$A$2:$J$335,9,0)</f>
        <v>-200</v>
      </c>
      <c r="W27" s="73">
        <f>(532-VLOOKUP(C27&amp;E27&amp;F27&amp;G27&amp;H27,'Basic Data'!$A$2:$J$335,10,0))</f>
        <v>59</v>
      </c>
      <c r="X27" s="73">
        <f t="shared" si="10"/>
        <v>2.00895</v>
      </c>
      <c r="Y27" s="33" t="str">
        <f>VLOOKUP($C27&amp;1&amp;F27,Sheet3!$A$2:$E$221,5,0)&amp;CHAR(10)&amp;VLOOKUP($C27&amp;2&amp;G27,Sheet3!$A$2:$E$221,5,0)&amp;CHAR(10)&amp;VLOOKUP($C27&amp;3&amp;H27,Sheet3!$A$2:$E$221,5,0)</f>
        <v>-
75%로 버블 획득
-</v>
      </c>
    </row>
    <row r="28" spans="3:25" ht="17.25" thickTop="1">
      <c r="C28" s="20" t="s">
        <v>211</v>
      </c>
      <c r="D28" s="22">
        <v>0</v>
      </c>
      <c r="E28" s="22" t="s">
        <v>255</v>
      </c>
      <c r="F28" s="22">
        <v>1</v>
      </c>
      <c r="G28" s="22">
        <v>1</v>
      </c>
      <c r="H28" s="22">
        <v>1</v>
      </c>
      <c r="I28" s="22">
        <f>300/(1+쿨감)</f>
        <v>293.68575624082229</v>
      </c>
      <c r="J28" s="23">
        <f>IF(OR($V$3=C28,$W$3=C28),20%,0)+IF($X$3=C28,15%,0)</f>
        <v>0</v>
      </c>
      <c r="K28" s="23">
        <v>0</v>
      </c>
      <c r="L28" s="24">
        <v>0</v>
      </c>
      <c r="M28" s="25">
        <f ca="1">VLOOKUP(C28&amp;E28&amp;F28&amp;G28&amp;H28,'Basic Data'!$A$2:$G$335,7,0)*(1+J28)*(1+$K$4)*$S$2</f>
        <v>25388.2636107</v>
      </c>
      <c r="N28" s="25">
        <f ca="1">M28*(1+D28*0.2)</f>
        <v>25388.2636107</v>
      </c>
      <c r="O28" s="25">
        <f ca="1">M28*(2+$P$5)</f>
        <v>50776.5272214</v>
      </c>
      <c r="P28" s="25">
        <f ca="1">N28*(2+$P$5)</f>
        <v>50776.5272214</v>
      </c>
      <c r="Q28" s="25">
        <f t="shared" ca="1" si="2"/>
        <v>29929.640040591185</v>
      </c>
      <c r="R28" s="25">
        <f t="shared" ca="1" si="3"/>
        <v>29929.640040591185</v>
      </c>
      <c r="S28" s="25">
        <f t="shared" ca="1" si="4"/>
        <v>101.91042433821299</v>
      </c>
      <c r="T28" s="25">
        <f t="shared" ca="1" si="5"/>
        <v>101.91042433821299</v>
      </c>
      <c r="U28" s="94">
        <f>VLOOKUP(C28&amp;E28&amp;F28&amp;G28&amp;H28,'Basic Data'!$A$2:$J$335,8,0)/(1+$M$4+$P$2)</f>
        <v>4.9483826565726083</v>
      </c>
      <c r="V28" s="83">
        <f>VLOOKUP(C28&amp;E28&amp;F28&amp;G28&amp;H28,'Basic Data'!$A$2:$J$335,9,0)*(1+$K$5)</f>
        <v>0</v>
      </c>
      <c r="W28" s="74">
        <f>(532-VLOOKUP(C28&amp;E28&amp;F28&amp;G28&amp;H28,'Basic Data'!$A$2:$J$335,10,0))</f>
        <v>72</v>
      </c>
      <c r="X28" s="74">
        <f t="shared" si="10"/>
        <v>0.24516000000000002</v>
      </c>
      <c r="Y28" s="34" t="s">
        <v>250</v>
      </c>
    </row>
    <row r="29" spans="3:25">
      <c r="X29" s="2"/>
    </row>
    <row r="30" spans="3:25">
      <c r="X30" s="2"/>
    </row>
    <row r="31" spans="3:25">
      <c r="X31" s="2"/>
    </row>
    <row r="32" spans="3:25">
      <c r="X32" s="2"/>
    </row>
    <row r="33" spans="24:25">
      <c r="X33" s="2"/>
      <c r="Y33" s="75"/>
    </row>
    <row r="34" spans="24:25">
      <c r="X34" s="2"/>
      <c r="Y34" s="75"/>
    </row>
    <row r="35" spans="24:25">
      <c r="X35" s="2"/>
    </row>
    <row r="36" spans="24:25">
      <c r="X36" s="2"/>
    </row>
    <row r="37" spans="24:25">
      <c r="X37" s="2"/>
    </row>
    <row r="38" spans="24:25">
      <c r="X38" s="2"/>
    </row>
    <row r="39" spans="24:25">
      <c r="X39" s="2"/>
    </row>
    <row r="40" spans="24:25">
      <c r="X40" s="2"/>
    </row>
  </sheetData>
  <autoFilter ref="C9:Y9" xr:uid="{F9BD0D67-53DB-4FD3-8427-E956C243740B}">
    <filterColumn colId="3" showButton="0"/>
    <filterColumn colId="4" showButton="0"/>
  </autoFilter>
  <mergeCells count="9">
    <mergeCell ref="F9:H9"/>
    <mergeCell ref="I2:J2"/>
    <mergeCell ref="I3:J3"/>
    <mergeCell ref="I4:J4"/>
    <mergeCell ref="I5:J5"/>
    <mergeCell ref="F2:G2"/>
    <mergeCell ref="F3:G3"/>
    <mergeCell ref="F5:G5"/>
    <mergeCell ref="F4:G4"/>
  </mergeCells>
  <phoneticPr fontId="1" type="noConversion"/>
  <conditionalFormatting sqref="S10:S27">
    <cfRule type="dataBar" priority="11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{78F3D49A-B69E-4A83-B33D-0756FAFF0EE9}</x14:id>
        </ext>
      </extLst>
    </cfRule>
  </conditionalFormatting>
  <conditionalFormatting sqref="Q10:Q27">
    <cfRule type="dataBar" priority="10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{9402B2F3-623B-4930-9C4B-400290194B92}</x14:id>
        </ext>
      </extLst>
    </cfRule>
  </conditionalFormatting>
  <conditionalFormatting sqref="R10:R27">
    <cfRule type="dataBar" priority="13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{68AF47D0-23FD-4213-AE08-323D72DE86FA}</x14:id>
        </ext>
      </extLst>
    </cfRule>
  </conditionalFormatting>
  <conditionalFormatting sqref="W10:W28">
    <cfRule type="dataBar" priority="7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{52344436-9284-471F-BAAF-7C114D3F4C66}</x14:id>
        </ext>
      </extLst>
    </cfRule>
  </conditionalFormatting>
  <conditionalFormatting sqref="X10:X28">
    <cfRule type="dataBar" priority="6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{53121F3A-36EF-4146-B33B-576253C1E6AB}</x14:id>
        </ext>
      </extLst>
    </cfRule>
  </conditionalFormatting>
  <conditionalFormatting sqref="V10:V21">
    <cfRule type="dataBar" priority="4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{2685AE7C-7A14-433D-B325-3A783CEC5FE8}</x14:id>
        </ext>
      </extLst>
    </cfRule>
  </conditionalFormatting>
  <conditionalFormatting sqref="U10:U2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{15A1F20E-993C-41E4-B81F-0ADF762754DE}</x14:id>
        </ext>
      </extLst>
    </cfRule>
  </conditionalFormatting>
  <conditionalFormatting sqref="T10:T27">
    <cfRule type="dataBar" priority="2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{FE2830EC-C1D0-4949-8027-0B2EE7A81869}</x14:id>
        </ext>
      </extLst>
    </cfRule>
  </conditionalFormatting>
  <dataValidations count="8">
    <dataValidation type="list" allowBlank="1" showInputMessage="1" showErrorMessage="1" sqref="E10:E27" xr:uid="{3A0C89B2-08AE-4658-A9A7-25AE9855594D}">
      <formula1>"1,4,7,10"</formula1>
    </dataValidation>
    <dataValidation type="list" allowBlank="1" showInputMessage="1" showErrorMessage="1" sqref="C24" xr:uid="{D2329B1C-F09A-4BBD-AC04-8E39ABD1D338}">
      <formula1>"화룡(H),화룡"</formula1>
    </dataValidation>
    <dataValidation type="list" allowBlank="1" showInputMessage="1" showErrorMessage="1" sqref="X3" xr:uid="{EEFC6FA4-67CD-4DD5-9740-255C02D87D80}">
      <formula1>"-,붕천, 삼연, 월섬, 지뢰, 잠룡, 용포, 나선, 화룡, 뇌명,섬열, 초풍, 화조, 방천, 내연, 뇌진, 풍신, 폭쇄"</formula1>
    </dataValidation>
    <dataValidation type="list" allowBlank="1" showInputMessage="1" showErrorMessage="1" sqref="V3:V5" xr:uid="{26376C5D-93A0-4879-B567-5BD3C8C09993}">
      <formula1>"-,붕천, 삼연, 월섬, 지뢰, 잠룡, 용포, 나선, 화룡, 뇌명"</formula1>
    </dataValidation>
    <dataValidation type="list" allowBlank="1" showInputMessage="1" showErrorMessage="1" sqref="W3:W5" xr:uid="{F071A36E-EFD3-4637-8FA4-1F9D8122AA85}">
      <formula1>"-,섬열, 초풍, 화조, 방천, 내연, 뇌진, 풍신, 폭쇄"</formula1>
    </dataValidation>
    <dataValidation type="list" allowBlank="1" showInputMessage="1" showErrorMessage="1" sqref="F10:G27" xr:uid="{FBD8EC12-2C67-41F8-8E06-BFF1D8FCACEB}">
      <formula1>"-,1,2,3"</formula1>
    </dataValidation>
    <dataValidation type="list" allowBlank="1" showInputMessage="1" showErrorMessage="1" sqref="H10:H27" xr:uid="{21439918-8056-4786-AF5D-4E8B1E5350C3}">
      <formula1>"-,1,2"</formula1>
    </dataValidation>
    <dataValidation type="list" allowBlank="1" showInputMessage="1" showErrorMessage="1" sqref="S4:S5" xr:uid="{91AEE601-892E-47E0-9075-BEE7E94D8FF5}">
      <formula1>"0%,5%,10%,15%"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F3D49A-B69E-4A83-B33D-0756FAFF0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S10:S27</xm:sqref>
        </x14:conditionalFormatting>
        <x14:conditionalFormatting xmlns:xm="http://schemas.microsoft.com/office/excel/2006/main">
          <x14:cfRule type="dataBar" id="{9402B2F3-623B-4930-9C4B-400290194B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Q10:Q27</xm:sqref>
        </x14:conditionalFormatting>
        <x14:conditionalFormatting xmlns:xm="http://schemas.microsoft.com/office/excel/2006/main">
          <x14:cfRule type="dataBar" id="{68AF47D0-23FD-4213-AE08-323D72DE86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R10:R27</xm:sqref>
        </x14:conditionalFormatting>
        <x14:conditionalFormatting xmlns:xm="http://schemas.microsoft.com/office/excel/2006/main">
          <x14:cfRule type="dataBar" id="{52344436-9284-471F-BAAF-7C114D3F4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W10:W28</xm:sqref>
        </x14:conditionalFormatting>
        <x14:conditionalFormatting xmlns:xm="http://schemas.microsoft.com/office/excel/2006/main">
          <x14:cfRule type="dataBar" id="{53121F3A-36EF-4146-B33B-576253C1E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X10:X28</xm:sqref>
        </x14:conditionalFormatting>
        <x14:conditionalFormatting xmlns:xm="http://schemas.microsoft.com/office/excel/2006/main">
          <x14:cfRule type="dataBar" id="{2685AE7C-7A14-433D-B325-3A783CEC5F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V10:V21</xm:sqref>
        </x14:conditionalFormatting>
        <x14:conditionalFormatting xmlns:xm="http://schemas.microsoft.com/office/excel/2006/main">
          <x14:cfRule type="dataBar" id="{15A1F20E-993C-41E4-B81F-0ADF762754D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U10:U27</xm:sqref>
        </x14:conditionalFormatting>
        <x14:conditionalFormatting xmlns:xm="http://schemas.microsoft.com/office/excel/2006/main">
          <x14:cfRule type="dataBar" id="{FE2830EC-C1D0-4949-8027-0B2EE7A818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T10:T27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326A-3A19-4C1C-9BDE-078BEFE710FA}">
  <sheetPr codeName="Sheet3"/>
  <dimension ref="A1:P336"/>
  <sheetViews>
    <sheetView topLeftCell="B1" workbookViewId="0">
      <pane ySplit="1" topLeftCell="A2" activePane="bottomLeft" state="frozen"/>
      <selection activeCell="B1" sqref="B1"/>
      <selection pane="bottomLeft" activeCell="N50" sqref="N50:O55"/>
    </sheetView>
  </sheetViews>
  <sheetFormatPr defaultRowHeight="16.5"/>
  <cols>
    <col min="1" max="1" width="4.5" hidden="1" customWidth="1"/>
    <col min="2" max="2" width="7.875" style="16" bestFit="1" customWidth="1"/>
    <col min="3" max="6" width="3.5" style="16" bestFit="1" customWidth="1"/>
    <col min="7" max="7" width="8.875" bestFit="1" customWidth="1"/>
    <col min="8" max="8" width="6.875" customWidth="1"/>
    <col min="9" max="9" width="6.875" style="3" customWidth="1"/>
    <col min="10" max="10" width="6.875" customWidth="1"/>
    <col min="11" max="11" width="39.25" hidden="1" customWidth="1"/>
    <col min="12" max="12" width="40.125" hidden="1" customWidth="1"/>
    <col min="13" max="13" width="47.75" hidden="1" customWidth="1"/>
  </cols>
  <sheetData>
    <row r="1" spans="1:15">
      <c r="B1" s="16" t="s">
        <v>29</v>
      </c>
      <c r="C1" s="16" t="s">
        <v>188</v>
      </c>
      <c r="D1" s="16" t="s">
        <v>176</v>
      </c>
      <c r="E1" s="16" t="s">
        <v>177</v>
      </c>
      <c r="F1" s="16" t="s">
        <v>178</v>
      </c>
      <c r="G1" s="16" t="s">
        <v>179</v>
      </c>
      <c r="H1" s="16" t="s">
        <v>228</v>
      </c>
      <c r="I1" s="79" t="s">
        <v>226</v>
      </c>
      <c r="J1" s="16" t="s">
        <v>189</v>
      </c>
      <c r="K1" s="16" t="s">
        <v>180</v>
      </c>
      <c r="L1" s="16" t="s">
        <v>181</v>
      </c>
      <c r="M1" s="16" t="s">
        <v>182</v>
      </c>
      <c r="N1" s="16" t="s">
        <v>270</v>
      </c>
      <c r="O1" s="16" t="s">
        <v>271</v>
      </c>
    </row>
    <row r="2" spans="1:15">
      <c r="A2" t="str">
        <f t="shared" ref="A2:A65" si="0">B2&amp;C2&amp;D2&amp;E2&amp;F2</f>
        <v>나선10111</v>
      </c>
      <c r="B2" s="16" t="s">
        <v>9</v>
      </c>
      <c r="C2" s="16">
        <v>10</v>
      </c>
      <c r="D2" s="16">
        <v>1</v>
      </c>
      <c r="E2" s="16">
        <v>1</v>
      </c>
      <c r="F2" s="16">
        <v>1</v>
      </c>
      <c r="G2" s="1">
        <f ca="1">SUMPRODUCT((Master!$A$2:$A$57=$B2)*(Master!$G$2:$G$57+공격력),(Master!$A$2:$A$57=$B2)*Master!$H$2:$H$57,(Master!$A$2:$A$57=$B2)*Master!$D$2:$D$57,(Master!$A$2:$A$57=$B2)*OFFSET(Master!$I$2:$I$57,0,D2-1),(Master!$A$2:$A$57=$B2)*OFFSET(Master!$L$2:$L$57,0,E2-1),(Master!$A$2:$A$57=$B2)*OFFSET(Master!$O$2:$O$57,0,F2-1))</f>
        <v>10395.75</v>
      </c>
      <c r="H2" s="7">
        <f t="shared" ref="H2:H65" si="1">(O2-N2)</f>
        <v>1.0850000000000009</v>
      </c>
      <c r="I2" s="79">
        <v>-100</v>
      </c>
      <c r="J2" s="78">
        <v>495</v>
      </c>
      <c r="K2" t="str">
        <f>VLOOKUP($B2&amp;1&amp;D2,Sheet3!$A$2:$E$221,5,0)</f>
        <v>-</v>
      </c>
      <c r="L2" t="str">
        <f>VLOOKUP($B2&amp;2&amp;E2,Sheet3!$A$2:$E$221,5,0)</f>
        <v>공속 20%증가</v>
      </c>
      <c r="M2" t="str">
        <f>VLOOKUP($B2&amp;3&amp;F2,Sheet3!$A$2:$E$221,5,0)</f>
        <v>-</v>
      </c>
      <c r="N2">
        <v>11.465</v>
      </c>
      <c r="O2">
        <v>12.55</v>
      </c>
    </row>
    <row r="3" spans="1:15">
      <c r="A3" t="str">
        <f t="shared" si="0"/>
        <v>나선10112</v>
      </c>
      <c r="B3" s="16" t="s">
        <v>9</v>
      </c>
      <c r="C3" s="16">
        <v>10</v>
      </c>
      <c r="D3" s="16">
        <v>1</v>
      </c>
      <c r="E3" s="16">
        <v>1</v>
      </c>
      <c r="F3" s="16">
        <v>2</v>
      </c>
      <c r="G3" s="1">
        <f ca="1">SUMPRODUCT((Master!$A$2:$A$57=$B3)*(Master!$G$2:$G$57+공격력),(Master!$A$2:$A$57=$B3)*Master!$H$2:$H$57,(Master!$A$2:$A$57=$B3)*Master!$D$2:$D$57,(Master!$A$2:$A$57=$B3)*OFFSET(Master!$I$2:$I$57,0,D3-1),(Master!$A$2:$A$57=$B3)*OFFSET(Master!$L$2:$L$57,0,E3-1),(Master!$A$2:$A$57=$B3)*OFFSET(Master!$O$2:$O$57,0,F3-1))</f>
        <v>6930.5</v>
      </c>
      <c r="H3" s="7">
        <f t="shared" si="1"/>
        <v>1.0850000000000009</v>
      </c>
      <c r="I3" s="79">
        <v>-100</v>
      </c>
      <c r="J3" s="78">
        <v>495</v>
      </c>
      <c r="K3" t="str">
        <f>VLOOKUP($B3&amp;1&amp;D3,Sheet3!$A$2:$E$221,5,0)</f>
        <v>-</v>
      </c>
      <c r="L3" t="str">
        <f>VLOOKUP($B3&amp;2&amp;E3,Sheet3!$A$2:$E$221,5,0)</f>
        <v>공속 20%증가</v>
      </c>
      <c r="M3" t="str">
        <f>VLOOKUP($B3&amp;3&amp;F3,Sheet3!$A$2:$E$221,5,0)</f>
        <v>적을 날려보내지 않고 기절</v>
      </c>
      <c r="N3">
        <v>11.465</v>
      </c>
      <c r="O3">
        <v>12.55</v>
      </c>
    </row>
    <row r="4" spans="1:15">
      <c r="A4" t="str">
        <f t="shared" si="0"/>
        <v>나선10121</v>
      </c>
      <c r="B4" s="16" t="s">
        <v>9</v>
      </c>
      <c r="C4" s="16">
        <v>10</v>
      </c>
      <c r="D4" s="16">
        <v>1</v>
      </c>
      <c r="E4" s="16">
        <v>2</v>
      </c>
      <c r="F4" s="16">
        <v>1</v>
      </c>
      <c r="G4" s="1">
        <f ca="1">SUMPRODUCT((Master!$A$2:$A$57=$B4)*(Master!$G$2:$G$57+공격력),(Master!$A$2:$A$57=$B4)*Master!$H$2:$H$57,(Master!$A$2:$A$57=$B4)*Master!$D$2:$D$57,(Master!$A$2:$A$57=$B4)*OFFSET(Master!$I$2:$I$57,0,D4-1),(Master!$A$2:$A$57=$B4)*OFFSET(Master!$L$2:$L$57,0,E4-1),(Master!$A$2:$A$57=$B4)*OFFSET(Master!$O$2:$O$57,0,F4-1))</f>
        <v>10395.75</v>
      </c>
      <c r="H4" s="7">
        <f t="shared" si="1"/>
        <v>1.2670000000000012</v>
      </c>
      <c r="I4" s="79">
        <v>-100</v>
      </c>
      <c r="J4" s="78">
        <v>495</v>
      </c>
      <c r="K4" t="str">
        <f>VLOOKUP($B4&amp;1&amp;D4,Sheet3!$A$2:$E$221,5,0)</f>
        <v>-</v>
      </c>
      <c r="L4" t="str">
        <f>VLOOKUP($B4&amp;2&amp;E4,Sheet3!$A$2:$E$221,5,0)</f>
        <v>30%로 버블획득</v>
      </c>
      <c r="M4" t="str">
        <f>VLOOKUP($B4&amp;3&amp;F4,Sheet3!$A$2:$E$221,5,0)</f>
        <v>-</v>
      </c>
      <c r="N4">
        <v>10.965999999999999</v>
      </c>
      <c r="O4">
        <v>12.233000000000001</v>
      </c>
    </row>
    <row r="5" spans="1:15">
      <c r="A5" t="str">
        <f t="shared" si="0"/>
        <v>나선10122</v>
      </c>
      <c r="B5" s="16" t="s">
        <v>9</v>
      </c>
      <c r="C5" s="16">
        <v>10</v>
      </c>
      <c r="D5" s="16">
        <v>1</v>
      </c>
      <c r="E5" s="16">
        <v>2</v>
      </c>
      <c r="F5" s="16">
        <v>2</v>
      </c>
      <c r="G5" s="1">
        <f ca="1">SUMPRODUCT((Master!$A$2:$A$57=$B5)*(Master!$G$2:$G$57+공격력),(Master!$A$2:$A$57=$B5)*Master!$H$2:$H$57,(Master!$A$2:$A$57=$B5)*Master!$D$2:$D$57,(Master!$A$2:$A$57=$B5)*OFFSET(Master!$I$2:$I$57,0,D5-1),(Master!$A$2:$A$57=$B5)*OFFSET(Master!$L$2:$L$57,0,E5-1),(Master!$A$2:$A$57=$B5)*OFFSET(Master!$O$2:$O$57,0,F5-1))</f>
        <v>6930.5</v>
      </c>
      <c r="H5" s="7">
        <f t="shared" si="1"/>
        <v>1.2670000000000012</v>
      </c>
      <c r="I5" s="79">
        <v>-100</v>
      </c>
      <c r="J5" s="78">
        <v>495</v>
      </c>
      <c r="K5" t="str">
        <f>VLOOKUP($B5&amp;1&amp;D5,Sheet3!$A$2:$E$221,5,0)</f>
        <v>-</v>
      </c>
      <c r="L5" t="str">
        <f>VLOOKUP($B5&amp;2&amp;E5,Sheet3!$A$2:$E$221,5,0)</f>
        <v>30%로 버블획득</v>
      </c>
      <c r="M5" t="str">
        <f>VLOOKUP($B5&amp;3&amp;F5,Sheet3!$A$2:$E$221,5,0)</f>
        <v>적을 날려보내지 않고 기절</v>
      </c>
      <c r="N5">
        <v>10.965999999999999</v>
      </c>
      <c r="O5">
        <v>12.233000000000001</v>
      </c>
    </row>
    <row r="6" spans="1:15">
      <c r="A6" t="str">
        <f t="shared" si="0"/>
        <v>나선10131</v>
      </c>
      <c r="B6" s="16" t="s">
        <v>9</v>
      </c>
      <c r="C6" s="16">
        <v>10</v>
      </c>
      <c r="D6" s="16">
        <v>1</v>
      </c>
      <c r="E6" s="16">
        <v>3</v>
      </c>
      <c r="F6" s="16">
        <v>1</v>
      </c>
      <c r="G6" s="1">
        <f ca="1">SUMPRODUCT((Master!$A$2:$A$57=$B6)*(Master!$G$2:$G$57+공격력),(Master!$A$2:$A$57=$B6)*Master!$H$2:$H$57,(Master!$A$2:$A$57=$B6)*Master!$D$2:$D$57,(Master!$A$2:$A$57=$B6)*OFFSET(Master!$I$2:$I$57,0,D6-1),(Master!$A$2:$A$57=$B6)*OFFSET(Master!$L$2:$L$57,0,E6-1),(Master!$A$2:$A$57=$B6)*OFFSET(Master!$O$2:$O$57,0,F6-1))</f>
        <v>10395.75</v>
      </c>
      <c r="H6" s="7">
        <f t="shared" si="1"/>
        <v>1.2670000000000012</v>
      </c>
      <c r="I6" s="79">
        <v>-100</v>
      </c>
      <c r="J6" s="78">
        <v>495</v>
      </c>
      <c r="K6" t="str">
        <f>VLOOKUP($B6&amp;1&amp;D6,Sheet3!$A$2:$E$221,5,0)</f>
        <v>-</v>
      </c>
      <c r="L6" t="str">
        <f>VLOOKUP($B6&amp;2&amp;E6,Sheet3!$A$2:$E$221,5,0)</f>
        <v>적중시 5초간 공격력 30%증가</v>
      </c>
      <c r="M6" t="str">
        <f>VLOOKUP($B6&amp;3&amp;F6,Sheet3!$A$2:$E$221,5,0)</f>
        <v>-</v>
      </c>
      <c r="N6">
        <v>10.965999999999999</v>
      </c>
      <c r="O6">
        <v>12.233000000000001</v>
      </c>
    </row>
    <row r="7" spans="1:15">
      <c r="A7" t="str">
        <f t="shared" si="0"/>
        <v>나선10132</v>
      </c>
      <c r="B7" s="16" t="s">
        <v>9</v>
      </c>
      <c r="C7" s="16">
        <v>10</v>
      </c>
      <c r="D7" s="16">
        <v>1</v>
      </c>
      <c r="E7" s="16">
        <v>3</v>
      </c>
      <c r="F7" s="16">
        <v>2</v>
      </c>
      <c r="G7" s="1">
        <f ca="1">SUMPRODUCT((Master!$A$2:$A$57=$B7)*(Master!$G$2:$G$57+공격력),(Master!$A$2:$A$57=$B7)*Master!$H$2:$H$57,(Master!$A$2:$A$57=$B7)*Master!$D$2:$D$57,(Master!$A$2:$A$57=$B7)*OFFSET(Master!$I$2:$I$57,0,D7-1),(Master!$A$2:$A$57=$B7)*OFFSET(Master!$L$2:$L$57,0,E7-1),(Master!$A$2:$A$57=$B7)*OFFSET(Master!$O$2:$O$57,0,F7-1))</f>
        <v>6930.5</v>
      </c>
      <c r="H7" s="7">
        <f t="shared" si="1"/>
        <v>1.2670000000000012</v>
      </c>
      <c r="I7" s="79">
        <v>-100</v>
      </c>
      <c r="J7" s="78">
        <v>495</v>
      </c>
      <c r="K7" t="str">
        <f>VLOOKUP($B7&amp;1&amp;D7,Sheet3!$A$2:$E$221,5,0)</f>
        <v>-</v>
      </c>
      <c r="L7" t="str">
        <f>VLOOKUP($B7&amp;2&amp;E7,Sheet3!$A$2:$E$221,5,0)</f>
        <v>적중시 5초간 공격력 30%증가</v>
      </c>
      <c r="M7" t="str">
        <f>VLOOKUP($B7&amp;3&amp;F7,Sheet3!$A$2:$E$221,5,0)</f>
        <v>적을 날려보내지 않고 기절</v>
      </c>
      <c r="N7">
        <v>10.965999999999999</v>
      </c>
      <c r="O7">
        <v>12.233000000000001</v>
      </c>
    </row>
    <row r="8" spans="1:15">
      <c r="A8" t="str">
        <f t="shared" si="0"/>
        <v>나선10211</v>
      </c>
      <c r="B8" s="16" t="s">
        <v>9</v>
      </c>
      <c r="C8" s="16">
        <v>10</v>
      </c>
      <c r="D8" s="16">
        <v>2</v>
      </c>
      <c r="E8" s="16">
        <v>1</v>
      </c>
      <c r="F8" s="16">
        <v>1</v>
      </c>
      <c r="G8" s="1">
        <f ca="1">SUMPRODUCT((Master!$A$2:$A$57=$B8)*(Master!$G$2:$G$57+공격력),(Master!$A$2:$A$57=$B8)*Master!$H$2:$H$57,(Master!$A$2:$A$57=$B8)*Master!$D$2:$D$57,(Master!$A$2:$A$57=$B8)*OFFSET(Master!$I$2:$I$57,0,D8-1),(Master!$A$2:$A$57=$B8)*OFFSET(Master!$L$2:$L$57,0,E8-1),(Master!$A$2:$A$57=$B8)*OFFSET(Master!$O$2:$O$57,0,F8-1))</f>
        <v>7996.7307692307686</v>
      </c>
      <c r="H8" s="7">
        <f t="shared" si="1"/>
        <v>1.0850000000000009</v>
      </c>
      <c r="I8" s="79">
        <v>-100</v>
      </c>
      <c r="J8" s="78">
        <v>495</v>
      </c>
      <c r="K8" t="str">
        <f>VLOOKUP($B8&amp;1&amp;D8,Sheet3!$A$2:$E$221,5,0)</f>
        <v>공격범위 20%증가</v>
      </c>
      <c r="L8" t="str">
        <f>VLOOKUP($B8&amp;2&amp;E8,Sheet3!$A$2:$E$221,5,0)</f>
        <v>공속 20%증가</v>
      </c>
      <c r="M8" t="str">
        <f>VLOOKUP($B8&amp;3&amp;F8,Sheet3!$A$2:$E$221,5,0)</f>
        <v>-</v>
      </c>
      <c r="N8">
        <v>11.465</v>
      </c>
      <c r="O8">
        <v>12.55</v>
      </c>
    </row>
    <row r="9" spans="1:15">
      <c r="A9" t="str">
        <f t="shared" si="0"/>
        <v>나선10212</v>
      </c>
      <c r="B9" s="16" t="s">
        <v>9</v>
      </c>
      <c r="C9" s="16">
        <v>10</v>
      </c>
      <c r="D9" s="16">
        <v>2</v>
      </c>
      <c r="E9" s="16">
        <v>1</v>
      </c>
      <c r="F9" s="16">
        <v>2</v>
      </c>
      <c r="G9" s="1">
        <f ca="1">SUMPRODUCT((Master!$A$2:$A$57=$B9)*(Master!$G$2:$G$57+공격력),(Master!$A$2:$A$57=$B9)*Master!$H$2:$H$57,(Master!$A$2:$A$57=$B9)*Master!$D$2:$D$57,(Master!$A$2:$A$57=$B9)*OFFSET(Master!$I$2:$I$57,0,D9-1),(Master!$A$2:$A$57=$B9)*OFFSET(Master!$L$2:$L$57,0,E9-1),(Master!$A$2:$A$57=$B9)*OFFSET(Master!$O$2:$O$57,0,F9-1))</f>
        <v>5331.1538461538457</v>
      </c>
      <c r="H9" s="7">
        <f t="shared" si="1"/>
        <v>1.0850000000000009</v>
      </c>
      <c r="I9" s="79">
        <v>-100</v>
      </c>
      <c r="J9" s="78">
        <v>495</v>
      </c>
      <c r="K9" t="str">
        <f>VLOOKUP($B9&amp;1&amp;D9,Sheet3!$A$2:$E$221,5,0)</f>
        <v>공격범위 20%증가</v>
      </c>
      <c r="L9" t="str">
        <f>VLOOKUP($B9&amp;2&amp;E9,Sheet3!$A$2:$E$221,5,0)</f>
        <v>공속 20%증가</v>
      </c>
      <c r="M9" t="str">
        <f>VLOOKUP($B9&amp;3&amp;F9,Sheet3!$A$2:$E$221,5,0)</f>
        <v>적을 날려보내지 않고 기절</v>
      </c>
      <c r="N9">
        <v>11.465</v>
      </c>
      <c r="O9">
        <v>12.55</v>
      </c>
    </row>
    <row r="10" spans="1:15">
      <c r="A10" t="str">
        <f t="shared" si="0"/>
        <v>나선10221</v>
      </c>
      <c r="B10" s="16" t="s">
        <v>9</v>
      </c>
      <c r="C10" s="16">
        <v>10</v>
      </c>
      <c r="D10" s="16">
        <v>2</v>
      </c>
      <c r="E10" s="16">
        <v>2</v>
      </c>
      <c r="F10" s="16">
        <v>1</v>
      </c>
      <c r="G10" s="1">
        <f ca="1">SUMPRODUCT((Master!$A$2:$A$57=$B10)*(Master!$G$2:$G$57+공격력),(Master!$A$2:$A$57=$B10)*Master!$H$2:$H$57,(Master!$A$2:$A$57=$B10)*Master!$D$2:$D$57,(Master!$A$2:$A$57=$B10)*OFFSET(Master!$I$2:$I$57,0,D10-1),(Master!$A$2:$A$57=$B10)*OFFSET(Master!$L$2:$L$57,0,E10-1),(Master!$A$2:$A$57=$B10)*OFFSET(Master!$O$2:$O$57,0,F10-1))</f>
        <v>7996.7307692307686</v>
      </c>
      <c r="H10" s="7">
        <f t="shared" si="1"/>
        <v>1.2670000000000012</v>
      </c>
      <c r="I10" s="79">
        <v>-100</v>
      </c>
      <c r="J10" s="78">
        <v>495</v>
      </c>
      <c r="K10" t="str">
        <f>VLOOKUP($B10&amp;1&amp;D10,Sheet3!$A$2:$E$221,5,0)</f>
        <v>공격범위 20%증가</v>
      </c>
      <c r="L10" t="str">
        <f>VLOOKUP($B10&amp;2&amp;E10,Sheet3!$A$2:$E$221,5,0)</f>
        <v>30%로 버블획득</v>
      </c>
      <c r="M10" t="str">
        <f>VLOOKUP($B10&amp;3&amp;F10,Sheet3!$A$2:$E$221,5,0)</f>
        <v>-</v>
      </c>
      <c r="N10">
        <v>10.965999999999999</v>
      </c>
      <c r="O10">
        <v>12.233000000000001</v>
      </c>
    </row>
    <row r="11" spans="1:15">
      <c r="A11" t="str">
        <f t="shared" si="0"/>
        <v>나선10222</v>
      </c>
      <c r="B11" s="16" t="s">
        <v>9</v>
      </c>
      <c r="C11" s="16">
        <v>10</v>
      </c>
      <c r="D11" s="16">
        <v>2</v>
      </c>
      <c r="E11" s="16">
        <v>2</v>
      </c>
      <c r="F11" s="16">
        <v>2</v>
      </c>
      <c r="G11" s="1">
        <f ca="1">SUMPRODUCT((Master!$A$2:$A$57=$B11)*(Master!$G$2:$G$57+공격력),(Master!$A$2:$A$57=$B11)*Master!$H$2:$H$57,(Master!$A$2:$A$57=$B11)*Master!$D$2:$D$57,(Master!$A$2:$A$57=$B11)*OFFSET(Master!$I$2:$I$57,0,D11-1),(Master!$A$2:$A$57=$B11)*OFFSET(Master!$L$2:$L$57,0,E11-1),(Master!$A$2:$A$57=$B11)*OFFSET(Master!$O$2:$O$57,0,F11-1))</f>
        <v>5331.1538461538457</v>
      </c>
      <c r="H11" s="7">
        <f t="shared" si="1"/>
        <v>1.2670000000000012</v>
      </c>
      <c r="I11" s="79">
        <v>-100</v>
      </c>
      <c r="J11" s="78">
        <v>495</v>
      </c>
      <c r="K11" t="str">
        <f>VLOOKUP($B11&amp;1&amp;D11,Sheet3!$A$2:$E$221,5,0)</f>
        <v>공격범위 20%증가</v>
      </c>
      <c r="L11" t="str">
        <f>VLOOKUP($B11&amp;2&amp;E11,Sheet3!$A$2:$E$221,5,0)</f>
        <v>30%로 버블획득</v>
      </c>
      <c r="M11" t="str">
        <f>VLOOKUP($B11&amp;3&amp;F11,Sheet3!$A$2:$E$221,5,0)</f>
        <v>적을 날려보내지 않고 기절</v>
      </c>
      <c r="N11">
        <v>10.965999999999999</v>
      </c>
      <c r="O11">
        <v>12.233000000000001</v>
      </c>
    </row>
    <row r="12" spans="1:15">
      <c r="A12" t="str">
        <f t="shared" si="0"/>
        <v>나선10231</v>
      </c>
      <c r="B12" s="16" t="s">
        <v>9</v>
      </c>
      <c r="C12" s="16">
        <v>10</v>
      </c>
      <c r="D12" s="16">
        <v>2</v>
      </c>
      <c r="E12" s="16">
        <v>3</v>
      </c>
      <c r="F12" s="16">
        <v>1</v>
      </c>
      <c r="G12" s="1">
        <f ca="1">SUMPRODUCT((Master!$A$2:$A$57=$B12)*(Master!$G$2:$G$57+공격력),(Master!$A$2:$A$57=$B12)*Master!$H$2:$H$57,(Master!$A$2:$A$57=$B12)*Master!$D$2:$D$57,(Master!$A$2:$A$57=$B12)*OFFSET(Master!$I$2:$I$57,0,D12-1),(Master!$A$2:$A$57=$B12)*OFFSET(Master!$L$2:$L$57,0,E12-1),(Master!$A$2:$A$57=$B12)*OFFSET(Master!$O$2:$O$57,0,F12-1))</f>
        <v>7996.7307692307686</v>
      </c>
      <c r="H12" s="7">
        <f t="shared" si="1"/>
        <v>1.2670000000000012</v>
      </c>
      <c r="I12" s="79">
        <v>-100</v>
      </c>
      <c r="J12" s="78">
        <v>495</v>
      </c>
      <c r="K12" t="str">
        <f>VLOOKUP($B12&amp;1&amp;D12,Sheet3!$A$2:$E$221,5,0)</f>
        <v>공격범위 20%증가</v>
      </c>
      <c r="L12" t="str">
        <f>VLOOKUP($B12&amp;2&amp;E12,Sheet3!$A$2:$E$221,5,0)</f>
        <v>적중시 5초간 공격력 30%증가</v>
      </c>
      <c r="M12" t="str">
        <f>VLOOKUP($B12&amp;3&amp;F12,Sheet3!$A$2:$E$221,5,0)</f>
        <v>-</v>
      </c>
      <c r="N12">
        <v>10.965999999999999</v>
      </c>
      <c r="O12">
        <v>12.233000000000001</v>
      </c>
    </row>
    <row r="13" spans="1:15">
      <c r="A13" t="str">
        <f t="shared" si="0"/>
        <v>나선10232</v>
      </c>
      <c r="B13" s="16" t="s">
        <v>9</v>
      </c>
      <c r="C13" s="16">
        <v>10</v>
      </c>
      <c r="D13" s="16">
        <v>2</v>
      </c>
      <c r="E13" s="16">
        <v>3</v>
      </c>
      <c r="F13" s="16">
        <v>2</v>
      </c>
      <c r="G13" s="1">
        <f ca="1">SUMPRODUCT((Master!$A$2:$A$57=$B13)*(Master!$G$2:$G$57+공격력),(Master!$A$2:$A$57=$B13)*Master!$H$2:$H$57,(Master!$A$2:$A$57=$B13)*Master!$D$2:$D$57,(Master!$A$2:$A$57=$B13)*OFFSET(Master!$I$2:$I$57,0,D13-1),(Master!$A$2:$A$57=$B13)*OFFSET(Master!$L$2:$L$57,0,E13-1),(Master!$A$2:$A$57=$B13)*OFFSET(Master!$O$2:$O$57,0,F13-1))</f>
        <v>5331.1538461538457</v>
      </c>
      <c r="H13" s="7">
        <f t="shared" si="1"/>
        <v>1.2670000000000012</v>
      </c>
      <c r="I13" s="79">
        <v>-100</v>
      </c>
      <c r="J13" s="78">
        <v>495</v>
      </c>
      <c r="K13" t="str">
        <f>VLOOKUP($B13&amp;1&amp;D13,Sheet3!$A$2:$E$221,5,0)</f>
        <v>공격범위 20%증가</v>
      </c>
      <c r="L13" t="str">
        <f>VLOOKUP($B13&amp;2&amp;E13,Sheet3!$A$2:$E$221,5,0)</f>
        <v>적중시 5초간 공격력 30%증가</v>
      </c>
      <c r="M13" t="str">
        <f>VLOOKUP($B13&amp;3&amp;F13,Sheet3!$A$2:$E$221,5,0)</f>
        <v>적을 날려보내지 않고 기절</v>
      </c>
      <c r="N13">
        <v>10.965999999999999</v>
      </c>
      <c r="O13">
        <v>12.233000000000001</v>
      </c>
    </row>
    <row r="14" spans="1:15">
      <c r="A14" t="str">
        <f t="shared" si="0"/>
        <v>나선10311</v>
      </c>
      <c r="B14" s="16" t="s">
        <v>9</v>
      </c>
      <c r="C14" s="16">
        <v>10</v>
      </c>
      <c r="D14" s="16">
        <v>3</v>
      </c>
      <c r="E14" s="16">
        <v>1</v>
      </c>
      <c r="F14" s="16">
        <v>1</v>
      </c>
      <c r="G14" s="1">
        <f ca="1">SUMPRODUCT((Master!$A$2:$A$57=$B14)*(Master!$G$2:$G$57+공격력),(Master!$A$2:$A$57=$B14)*Master!$H$2:$H$57,(Master!$A$2:$A$57=$B14)*Master!$D$2:$D$57,(Master!$A$2:$A$57=$B14)*OFFSET(Master!$I$2:$I$57,0,D14-1),(Master!$A$2:$A$57=$B14)*OFFSET(Master!$L$2:$L$57,0,E14-1),(Master!$A$2:$A$57=$B14)*OFFSET(Master!$O$2:$O$57,0,F14-1))</f>
        <v>7996.7307692307686</v>
      </c>
      <c r="H14" s="7">
        <f t="shared" si="1"/>
        <v>1.0850000000000009</v>
      </c>
      <c r="I14" s="79">
        <v>-100</v>
      </c>
      <c r="J14" s="78">
        <v>495</v>
      </c>
      <c r="K14" t="str">
        <f>VLOOKUP($B14&amp;1&amp;D14,Sheet3!$A$2:$E$221,5,0)</f>
        <v>적 빨아댕김</v>
      </c>
      <c r="L14" t="str">
        <f>VLOOKUP($B14&amp;2&amp;E14,Sheet3!$A$2:$E$221,5,0)</f>
        <v>공속 20%증가</v>
      </c>
      <c r="M14" t="str">
        <f>VLOOKUP($B14&amp;3&amp;F14,Sheet3!$A$2:$E$221,5,0)</f>
        <v>-</v>
      </c>
      <c r="N14">
        <v>11.465</v>
      </c>
      <c r="O14">
        <v>12.55</v>
      </c>
    </row>
    <row r="15" spans="1:15">
      <c r="A15" t="str">
        <f t="shared" si="0"/>
        <v>나선10312</v>
      </c>
      <c r="B15" s="16" t="s">
        <v>9</v>
      </c>
      <c r="C15" s="16">
        <v>10</v>
      </c>
      <c r="D15" s="16">
        <v>3</v>
      </c>
      <c r="E15" s="16">
        <v>1</v>
      </c>
      <c r="F15" s="16">
        <v>2</v>
      </c>
      <c r="G15" s="1">
        <f ca="1">SUMPRODUCT((Master!$A$2:$A$57=$B15)*(Master!$G$2:$G$57+공격력),(Master!$A$2:$A$57=$B15)*Master!$H$2:$H$57,(Master!$A$2:$A$57=$B15)*Master!$D$2:$D$57,(Master!$A$2:$A$57=$B15)*OFFSET(Master!$I$2:$I$57,0,D15-1),(Master!$A$2:$A$57=$B15)*OFFSET(Master!$L$2:$L$57,0,E15-1),(Master!$A$2:$A$57=$B15)*OFFSET(Master!$O$2:$O$57,0,F15-1))</f>
        <v>5331.1538461538457</v>
      </c>
      <c r="H15" s="7">
        <f t="shared" si="1"/>
        <v>1.0850000000000009</v>
      </c>
      <c r="I15" s="79">
        <v>-100</v>
      </c>
      <c r="J15" s="78">
        <v>495</v>
      </c>
      <c r="K15" t="str">
        <f>VLOOKUP($B15&amp;1&amp;D15,Sheet3!$A$2:$E$221,5,0)</f>
        <v>적 빨아댕김</v>
      </c>
      <c r="L15" t="str">
        <f>VLOOKUP($B15&amp;2&amp;E15,Sheet3!$A$2:$E$221,5,0)</f>
        <v>공속 20%증가</v>
      </c>
      <c r="M15" t="str">
        <f>VLOOKUP($B15&amp;3&amp;F15,Sheet3!$A$2:$E$221,5,0)</f>
        <v>적을 날려보내지 않고 기절</v>
      </c>
      <c r="N15">
        <v>11.465</v>
      </c>
      <c r="O15">
        <v>12.55</v>
      </c>
    </row>
    <row r="16" spans="1:15">
      <c r="A16" t="str">
        <f t="shared" si="0"/>
        <v>나선10321</v>
      </c>
      <c r="B16" s="16" t="s">
        <v>9</v>
      </c>
      <c r="C16" s="16">
        <v>10</v>
      </c>
      <c r="D16" s="16">
        <v>3</v>
      </c>
      <c r="E16" s="16">
        <v>2</v>
      </c>
      <c r="F16" s="16">
        <v>1</v>
      </c>
      <c r="G16" s="1">
        <f ca="1">SUMPRODUCT((Master!$A$2:$A$57=$B16)*(Master!$G$2:$G$57+공격력),(Master!$A$2:$A$57=$B16)*Master!$H$2:$H$57,(Master!$A$2:$A$57=$B16)*Master!$D$2:$D$57,(Master!$A$2:$A$57=$B16)*OFFSET(Master!$I$2:$I$57,0,D16-1),(Master!$A$2:$A$57=$B16)*OFFSET(Master!$L$2:$L$57,0,E16-1),(Master!$A$2:$A$57=$B16)*OFFSET(Master!$O$2:$O$57,0,F16-1))</f>
        <v>7996.7307692307686</v>
      </c>
      <c r="H16" s="7">
        <f t="shared" si="1"/>
        <v>1.2670000000000012</v>
      </c>
      <c r="I16" s="79">
        <v>-100</v>
      </c>
      <c r="J16" s="78">
        <v>495</v>
      </c>
      <c r="K16" t="str">
        <f>VLOOKUP($B16&amp;1&amp;D16,Sheet3!$A$2:$E$221,5,0)</f>
        <v>적 빨아댕김</v>
      </c>
      <c r="L16" t="str">
        <f>VLOOKUP($B16&amp;2&amp;E16,Sheet3!$A$2:$E$221,5,0)</f>
        <v>30%로 버블획득</v>
      </c>
      <c r="M16" t="str">
        <f>VLOOKUP($B16&amp;3&amp;F16,Sheet3!$A$2:$E$221,5,0)</f>
        <v>-</v>
      </c>
      <c r="N16">
        <v>10.965999999999999</v>
      </c>
      <c r="O16">
        <v>12.233000000000001</v>
      </c>
    </row>
    <row r="17" spans="1:15">
      <c r="A17" t="str">
        <f t="shared" si="0"/>
        <v>나선10322</v>
      </c>
      <c r="B17" s="16" t="s">
        <v>9</v>
      </c>
      <c r="C17" s="16">
        <v>10</v>
      </c>
      <c r="D17" s="16">
        <v>3</v>
      </c>
      <c r="E17" s="16">
        <v>2</v>
      </c>
      <c r="F17" s="16">
        <v>2</v>
      </c>
      <c r="G17" s="1">
        <f ca="1">SUMPRODUCT((Master!$A$2:$A$57=$B17)*(Master!$G$2:$G$57+공격력),(Master!$A$2:$A$57=$B17)*Master!$H$2:$H$57,(Master!$A$2:$A$57=$B17)*Master!$D$2:$D$57,(Master!$A$2:$A$57=$B17)*OFFSET(Master!$I$2:$I$57,0,D17-1),(Master!$A$2:$A$57=$B17)*OFFSET(Master!$L$2:$L$57,0,E17-1),(Master!$A$2:$A$57=$B17)*OFFSET(Master!$O$2:$O$57,0,F17-1))</f>
        <v>5331.1538461538457</v>
      </c>
      <c r="H17" s="7">
        <f t="shared" si="1"/>
        <v>1.2670000000000012</v>
      </c>
      <c r="I17" s="79">
        <v>-100</v>
      </c>
      <c r="J17" s="78">
        <v>495</v>
      </c>
      <c r="K17" t="str">
        <f>VLOOKUP($B17&amp;1&amp;D17,Sheet3!$A$2:$E$221,5,0)</f>
        <v>적 빨아댕김</v>
      </c>
      <c r="L17" t="str">
        <f>VLOOKUP($B17&amp;2&amp;E17,Sheet3!$A$2:$E$221,5,0)</f>
        <v>30%로 버블획득</v>
      </c>
      <c r="M17" t="str">
        <f>VLOOKUP($B17&amp;3&amp;F17,Sheet3!$A$2:$E$221,5,0)</f>
        <v>적을 날려보내지 않고 기절</v>
      </c>
      <c r="N17">
        <v>10.965999999999999</v>
      </c>
      <c r="O17">
        <v>12.233000000000001</v>
      </c>
    </row>
    <row r="18" spans="1:15">
      <c r="A18" t="str">
        <f t="shared" si="0"/>
        <v>나선10331</v>
      </c>
      <c r="B18" s="16" t="s">
        <v>9</v>
      </c>
      <c r="C18" s="16">
        <v>10</v>
      </c>
      <c r="D18" s="16">
        <v>3</v>
      </c>
      <c r="E18" s="16">
        <v>3</v>
      </c>
      <c r="F18" s="16">
        <v>1</v>
      </c>
      <c r="G18" s="1">
        <f ca="1">SUMPRODUCT((Master!$A$2:$A$57=$B18)*(Master!$G$2:$G$57+공격력),(Master!$A$2:$A$57=$B18)*Master!$H$2:$H$57,(Master!$A$2:$A$57=$B18)*Master!$D$2:$D$57,(Master!$A$2:$A$57=$B18)*OFFSET(Master!$I$2:$I$57,0,D18-1),(Master!$A$2:$A$57=$B18)*OFFSET(Master!$L$2:$L$57,0,E18-1),(Master!$A$2:$A$57=$B18)*OFFSET(Master!$O$2:$O$57,0,F18-1))</f>
        <v>7996.7307692307686</v>
      </c>
      <c r="H18" s="7">
        <f t="shared" si="1"/>
        <v>1.2670000000000012</v>
      </c>
      <c r="I18" s="79">
        <v>-100</v>
      </c>
      <c r="J18" s="78">
        <v>495</v>
      </c>
      <c r="K18" t="str">
        <f>VLOOKUP($B18&amp;1&amp;D18,Sheet3!$A$2:$E$221,5,0)</f>
        <v>적 빨아댕김</v>
      </c>
      <c r="L18" t="str">
        <f>VLOOKUP($B18&amp;2&amp;E18,Sheet3!$A$2:$E$221,5,0)</f>
        <v>적중시 5초간 공격력 30%증가</v>
      </c>
      <c r="M18" t="str">
        <f>VLOOKUP($B18&amp;3&amp;F18,Sheet3!$A$2:$E$221,5,0)</f>
        <v>-</v>
      </c>
      <c r="N18">
        <v>10.965999999999999</v>
      </c>
      <c r="O18">
        <v>12.233000000000001</v>
      </c>
    </row>
    <row r="19" spans="1:15">
      <c r="A19" t="str">
        <f t="shared" si="0"/>
        <v>나선10332</v>
      </c>
      <c r="B19" s="16" t="s">
        <v>9</v>
      </c>
      <c r="C19" s="16">
        <v>10</v>
      </c>
      <c r="D19" s="16">
        <v>3</v>
      </c>
      <c r="E19" s="16">
        <v>3</v>
      </c>
      <c r="F19" s="16">
        <v>2</v>
      </c>
      <c r="G19" s="1">
        <f ca="1">SUMPRODUCT((Master!$A$2:$A$57=$B19)*(Master!$G$2:$G$57+공격력),(Master!$A$2:$A$57=$B19)*Master!$H$2:$H$57,(Master!$A$2:$A$57=$B19)*Master!$D$2:$D$57,(Master!$A$2:$A$57=$B19)*OFFSET(Master!$I$2:$I$57,0,D19-1),(Master!$A$2:$A$57=$B19)*OFFSET(Master!$L$2:$L$57,0,E19-1),(Master!$A$2:$A$57=$B19)*OFFSET(Master!$O$2:$O$57,0,F19-1))</f>
        <v>5331.1538461538457</v>
      </c>
      <c r="H19" s="7">
        <f t="shared" si="1"/>
        <v>1.2670000000000012</v>
      </c>
      <c r="I19" s="79">
        <v>-100</v>
      </c>
      <c r="J19" s="78">
        <v>495</v>
      </c>
      <c r="K19" t="str">
        <f>VLOOKUP($B19&amp;1&amp;D19,Sheet3!$A$2:$E$221,5,0)</f>
        <v>적 빨아댕김</v>
      </c>
      <c r="L19" t="str">
        <f>VLOOKUP($B19&amp;2&amp;E19,Sheet3!$A$2:$E$221,5,0)</f>
        <v>적중시 5초간 공격력 30%증가</v>
      </c>
      <c r="M19" t="str">
        <f>VLOOKUP($B19&amp;3&amp;F19,Sheet3!$A$2:$E$221,5,0)</f>
        <v>적을 날려보내지 않고 기절</v>
      </c>
      <c r="N19">
        <v>10.965999999999999</v>
      </c>
      <c r="O19">
        <v>12.233000000000001</v>
      </c>
    </row>
    <row r="20" spans="1:15">
      <c r="A20" t="str">
        <f t="shared" si="0"/>
        <v>내연10111</v>
      </c>
      <c r="B20" s="16" t="s">
        <v>28</v>
      </c>
      <c r="C20" s="16">
        <v>10</v>
      </c>
      <c r="D20" s="16">
        <v>1</v>
      </c>
      <c r="E20" s="16">
        <v>1</v>
      </c>
      <c r="F20" s="16">
        <v>1</v>
      </c>
      <c r="G20" s="1">
        <f ca="1">SUMPRODUCT((Master!$A$2:$A$57=$B20)*(Master!$G$2:$G$57+공격력),(Master!$A$2:$A$57=$B20)*Master!$H$2:$H$57,(Master!$A$2:$A$57=$B20)*Master!$D$2:$D$57,(Master!$A$2:$A$57=$B20)*OFFSET(Master!$I$2:$I$57,0,D20-1),(Master!$A$2:$A$57=$B20)*OFFSET(Master!$L$2:$L$57,0,E20-1),(Master!$A$2:$A$57=$B20)*OFFSET(Master!$O$2:$O$57,0,F20-1))+(Master!$G$35+공격력)*Master!$H$35*IF($E20=1,28*2,IF($E20=2,16*2,57.75))</f>
        <v>29252.785714285714</v>
      </c>
      <c r="H20" s="7">
        <f t="shared" si="1"/>
        <v>0.73300000000000054</v>
      </c>
      <c r="I20" s="79">
        <v>267</v>
      </c>
      <c r="J20" s="78" t="s">
        <v>252</v>
      </c>
      <c r="K20" t="str">
        <f>VLOOKUP($B20&amp;1&amp;D20,Sheet3!$A$2:$E$221,5,0)</f>
        <v>받는피해 10%감소</v>
      </c>
      <c r="L20" t="str">
        <f>VLOOKUP($B20&amp;2&amp;E20,Sheet3!$A$2:$E$221,5,0)</f>
        <v>지속시간 8초 증가</v>
      </c>
      <c r="M20" t="str">
        <f>VLOOKUP($B20&amp;3&amp;F20,Sheet3!$A$2:$E$221,5,0)</f>
        <v>공격범위 20%증가, 내연의 치명타 피해 50%증가</v>
      </c>
      <c r="N20">
        <v>30.331</v>
      </c>
      <c r="O20">
        <v>31.064</v>
      </c>
    </row>
    <row r="21" spans="1:15">
      <c r="A21" t="str">
        <f t="shared" si="0"/>
        <v>내연10112</v>
      </c>
      <c r="B21" s="16" t="s">
        <v>28</v>
      </c>
      <c r="C21" s="16">
        <v>10</v>
      </c>
      <c r="D21" s="16">
        <v>1</v>
      </c>
      <c r="E21" s="16">
        <v>1</v>
      </c>
      <c r="F21" s="16">
        <v>2</v>
      </c>
      <c r="G21" s="1">
        <f ca="1">SUMPRODUCT((Master!$A$2:$A$57=$B21)*(Master!$G$2:$G$57+공격력),(Master!$A$2:$A$57=$B21)*Master!$H$2:$H$57,(Master!$A$2:$A$57=$B21)*Master!$D$2:$D$57,(Master!$A$2:$A$57=$B21)*OFFSET(Master!$I$2:$I$57,0,D21-1),(Master!$A$2:$A$57=$B21)*OFFSET(Master!$L$2:$L$57,0,E21-1),(Master!$A$2:$A$57=$B21)*OFFSET(Master!$O$2:$O$57,0,F21-1))+(Master!$G$35+공격력)*Master!$H$35*IF($E21=1,28*2,IF($E21=2,16*2,57.75))</f>
        <v>34282.050019462826</v>
      </c>
      <c r="H21" s="7">
        <f t="shared" si="1"/>
        <v>0.73300000000000054</v>
      </c>
      <c r="I21" s="79">
        <v>272</v>
      </c>
      <c r="J21" s="78" t="s">
        <v>252</v>
      </c>
      <c r="K21" t="str">
        <f>VLOOKUP($B21&amp;1&amp;D21,Sheet3!$A$2:$E$221,5,0)</f>
        <v>받는피해 10%감소</v>
      </c>
      <c r="L21" t="str">
        <f>VLOOKUP($B21&amp;2&amp;E21,Sheet3!$A$2:$E$221,5,0)</f>
        <v>지속시간 8초 증가</v>
      </c>
      <c r="M21" t="str">
        <f>VLOOKUP($B21&amp;3&amp;F21,Sheet3!$A$2:$E$221,5,0)</f>
        <v>내연끝날때 폭발피해주며 적을 날림</v>
      </c>
      <c r="N21">
        <v>30.331</v>
      </c>
      <c r="O21">
        <v>31.064</v>
      </c>
    </row>
    <row r="22" spans="1:15">
      <c r="A22" t="str">
        <f t="shared" si="0"/>
        <v>내연10121</v>
      </c>
      <c r="B22" s="16" t="s">
        <v>28</v>
      </c>
      <c r="C22" s="16">
        <v>10</v>
      </c>
      <c r="D22" s="16">
        <v>1</v>
      </c>
      <c r="E22" s="16">
        <v>2</v>
      </c>
      <c r="F22" s="16">
        <v>1</v>
      </c>
      <c r="G22" s="1">
        <f ca="1">SUMPRODUCT((Master!$A$2:$A$57=$B22)*(Master!$G$2:$G$57+공격력),(Master!$A$2:$A$57=$B22)*Master!$H$2:$H$57,(Master!$A$2:$A$57=$B22)*Master!$D$2:$D$57,(Master!$A$2:$A$57=$B22)*OFFSET(Master!$I$2:$I$57,0,D22-1),(Master!$A$2:$A$57=$B22)*OFFSET(Master!$L$2:$L$57,0,E22-1),(Master!$A$2:$A$57=$B22)*OFFSET(Master!$O$2:$O$57,0,F22-1))+(Master!$G$35+공격력)*Master!$H$35*IF($E22=1,28*2,IF($E22=2,16*2,57.75))</f>
        <v>17157.313186813186</v>
      </c>
      <c r="H22" s="7">
        <f t="shared" si="1"/>
        <v>0.73300000000000054</v>
      </c>
      <c r="I22" s="79">
        <v>155</v>
      </c>
      <c r="J22" s="78" t="s">
        <v>252</v>
      </c>
      <c r="K22" t="str">
        <f>VLOOKUP($B22&amp;1&amp;D22,Sheet3!$A$2:$E$221,5,0)</f>
        <v>받는피해 10%감소</v>
      </c>
      <c r="L22" t="str">
        <f>VLOOKUP($B22&amp;2&amp;E22,Sheet3!$A$2:$E$221,5,0)</f>
        <v>쿨 15초 감소, 지속시간 4초감소</v>
      </c>
      <c r="M22" t="str">
        <f>VLOOKUP($B22&amp;3&amp;F22,Sheet3!$A$2:$E$221,5,0)</f>
        <v>공격범위 20%증가, 내연의 치명타 피해 50%증가</v>
      </c>
      <c r="N22">
        <v>30.331</v>
      </c>
      <c r="O22">
        <v>31.064</v>
      </c>
    </row>
    <row r="23" spans="1:15">
      <c r="A23" t="str">
        <f t="shared" si="0"/>
        <v>내연10122</v>
      </c>
      <c r="B23" s="16" t="s">
        <v>28</v>
      </c>
      <c r="C23" s="16">
        <v>10</v>
      </c>
      <c r="D23" s="16">
        <v>1</v>
      </c>
      <c r="E23" s="16">
        <v>2</v>
      </c>
      <c r="F23" s="16">
        <v>2</v>
      </c>
      <c r="G23" s="1">
        <f ca="1">SUMPRODUCT((Master!$A$2:$A$57=$B23)*(Master!$G$2:$G$57+공격력),(Master!$A$2:$A$57=$B23)*Master!$H$2:$H$57,(Master!$A$2:$A$57=$B23)*Master!$D$2:$D$57,(Master!$A$2:$A$57=$B23)*OFFSET(Master!$I$2:$I$57,0,D23-1),(Master!$A$2:$A$57=$B23)*OFFSET(Master!$L$2:$L$57,0,E23-1),(Master!$A$2:$A$57=$B23)*OFFSET(Master!$O$2:$O$57,0,F23-1))+(Master!$G$35+공격력)*Master!$H$35*IF($E23=1,28*2,IF($E23=2,16*2,57.75))</f>
        <v>22186.577491990298</v>
      </c>
      <c r="H23" s="7">
        <f t="shared" si="1"/>
        <v>0.73300000000000054</v>
      </c>
      <c r="I23" s="79">
        <v>160</v>
      </c>
      <c r="J23" s="78" t="s">
        <v>252</v>
      </c>
      <c r="K23" t="str">
        <f>VLOOKUP($B23&amp;1&amp;D23,Sheet3!$A$2:$E$221,5,0)</f>
        <v>받는피해 10%감소</v>
      </c>
      <c r="L23" t="str">
        <f>VLOOKUP($B23&amp;2&amp;E23,Sheet3!$A$2:$E$221,5,0)</f>
        <v>쿨 15초 감소, 지속시간 4초감소</v>
      </c>
      <c r="M23" t="str">
        <f>VLOOKUP($B23&amp;3&amp;F23,Sheet3!$A$2:$E$221,5,0)</f>
        <v>내연끝날때 폭발피해주며 적을 날림</v>
      </c>
      <c r="N23">
        <v>30.331</v>
      </c>
      <c r="O23">
        <v>31.064</v>
      </c>
    </row>
    <row r="24" spans="1:15">
      <c r="A24" t="str">
        <f t="shared" si="0"/>
        <v>내연10131</v>
      </c>
      <c r="B24" s="16" t="s">
        <v>28</v>
      </c>
      <c r="C24" s="16">
        <v>10</v>
      </c>
      <c r="D24" s="16">
        <v>1</v>
      </c>
      <c r="E24" s="16">
        <v>3</v>
      </c>
      <c r="F24" s="16">
        <v>1</v>
      </c>
      <c r="G24" s="1">
        <f ca="1">SUMPRODUCT((Master!$A$2:$A$57=$B24)*(Master!$G$2:$G$57+공격력),(Master!$A$2:$A$57=$B24)*Master!$H$2:$H$57,(Master!$A$2:$A$57=$B24)*Master!$D$2:$D$57,(Master!$A$2:$A$57=$B24)*OFFSET(Master!$I$2:$I$57,0,D24-1),(Master!$A$2:$A$57=$B24)*OFFSET(Master!$L$2:$L$57,0,E24-1),(Master!$A$2:$A$57=$B24)*OFFSET(Master!$O$2:$O$57,0,F24-1))+(Master!$G$35+공격력)*Master!$H$35*IF($E24=1,28*2,IF($E24=2,16*2,57.75))</f>
        <v>30134.747252747253</v>
      </c>
      <c r="H24" s="7">
        <f t="shared" si="1"/>
        <v>0.73300000000000054</v>
      </c>
      <c r="I24" s="79">
        <v>193</v>
      </c>
      <c r="J24" s="78" t="s">
        <v>252</v>
      </c>
      <c r="K24" t="str">
        <f>VLOOKUP($B24&amp;1&amp;D24,Sheet3!$A$2:$E$221,5,0)</f>
        <v>받는피해 10%감소</v>
      </c>
      <c r="L24" t="str">
        <f>VLOOKUP($B24&amp;2&amp;E24,Sheet3!$A$2:$E$221,5,0)</f>
        <v>연소피해 5%씩 최대 50%까지 증가</v>
      </c>
      <c r="M24" t="str">
        <f>VLOOKUP($B24&amp;3&amp;F24,Sheet3!$A$2:$E$221,5,0)</f>
        <v>공격범위 20%증가, 내연의 치명타 피해 50%증가</v>
      </c>
      <c r="N24">
        <v>30.331</v>
      </c>
      <c r="O24">
        <v>31.064</v>
      </c>
    </row>
    <row r="25" spans="1:15">
      <c r="A25" t="str">
        <f t="shared" si="0"/>
        <v>내연10132</v>
      </c>
      <c r="B25" s="16" t="s">
        <v>28</v>
      </c>
      <c r="C25" s="16">
        <v>10</v>
      </c>
      <c r="D25" s="16">
        <v>1</v>
      </c>
      <c r="E25" s="16">
        <v>3</v>
      </c>
      <c r="F25" s="16">
        <v>2</v>
      </c>
      <c r="G25" s="1">
        <f ca="1">SUMPRODUCT((Master!$A$2:$A$57=$B25)*(Master!$G$2:$G$57+공격력),(Master!$A$2:$A$57=$B25)*Master!$H$2:$H$57,(Master!$A$2:$A$57=$B25)*Master!$D$2:$D$57,(Master!$A$2:$A$57=$B25)*OFFSET(Master!$I$2:$I$57,0,D25-1),(Master!$A$2:$A$57=$B25)*OFFSET(Master!$L$2:$L$57,0,E25-1),(Master!$A$2:$A$57=$B25)*OFFSET(Master!$O$2:$O$57,0,F25-1))+(Master!$G$35+공격력)*Master!$H$35*IF($E25=1,28*2,IF($E25=2,16*2,57.75))</f>
        <v>35164.011557924365</v>
      </c>
      <c r="H25" s="7">
        <f t="shared" si="1"/>
        <v>0.73300000000000054</v>
      </c>
      <c r="I25" s="79">
        <v>197</v>
      </c>
      <c r="J25" s="78" t="s">
        <v>252</v>
      </c>
      <c r="K25" t="str">
        <f>VLOOKUP($B25&amp;1&amp;D25,Sheet3!$A$2:$E$221,5,0)</f>
        <v>받는피해 10%감소</v>
      </c>
      <c r="L25" t="str">
        <f>VLOOKUP($B25&amp;2&amp;E25,Sheet3!$A$2:$E$221,5,0)</f>
        <v>연소피해 5%씩 최대 50%까지 증가</v>
      </c>
      <c r="M25" t="str">
        <f>VLOOKUP($B25&amp;3&amp;F25,Sheet3!$A$2:$E$221,5,0)</f>
        <v>내연끝날때 폭발피해주며 적을 날림</v>
      </c>
      <c r="N25">
        <v>30.331</v>
      </c>
      <c r="O25">
        <v>31.064</v>
      </c>
    </row>
    <row r="26" spans="1:15">
      <c r="A26" t="str">
        <f t="shared" si="0"/>
        <v>내연10211</v>
      </c>
      <c r="B26" s="16" t="s">
        <v>28</v>
      </c>
      <c r="C26" s="16">
        <v>10</v>
      </c>
      <c r="D26" s="16">
        <v>2</v>
      </c>
      <c r="E26" s="16">
        <v>1</v>
      </c>
      <c r="F26" s="16">
        <v>1</v>
      </c>
      <c r="G26" s="1">
        <f ca="1">SUMPRODUCT((Master!$A$2:$A$57=$B26)*(Master!$G$2:$G$57+공격력),(Master!$A$2:$A$57=$B26)*Master!$H$2:$H$57,(Master!$A$2:$A$57=$B26)*Master!$D$2:$D$57,(Master!$A$2:$A$57=$B26)*OFFSET(Master!$I$2:$I$57,0,D26-1),(Master!$A$2:$A$57=$B26)*OFFSET(Master!$L$2:$L$57,0,E26-1),(Master!$A$2:$A$57=$B26)*OFFSET(Master!$O$2:$O$57,0,F26-1))+(Master!$G$35+공격력)*Master!$H$35*IF($E26=1,28*2,IF($E26=2,16*2,57.75))</f>
        <v>29252.785714285714</v>
      </c>
      <c r="H26" s="7">
        <f t="shared" si="1"/>
        <v>0.73300000000000054</v>
      </c>
      <c r="I26" s="79">
        <v>267</v>
      </c>
      <c r="J26" s="78" t="s">
        <v>252</v>
      </c>
      <c r="K26" t="str">
        <f>VLOOKUP($B26&amp;1&amp;D26,Sheet3!$A$2:$E$221,5,0)</f>
        <v>이속증가 30% 3초</v>
      </c>
      <c r="L26" t="str">
        <f>VLOOKUP($B26&amp;2&amp;E26,Sheet3!$A$2:$E$221,5,0)</f>
        <v>지속시간 8초 증가</v>
      </c>
      <c r="M26" t="str">
        <f>VLOOKUP($B26&amp;3&amp;F26,Sheet3!$A$2:$E$221,5,0)</f>
        <v>공격범위 20%증가, 내연의 치명타 피해 50%증가</v>
      </c>
      <c r="N26">
        <v>30.331</v>
      </c>
      <c r="O26">
        <v>31.064</v>
      </c>
    </row>
    <row r="27" spans="1:15">
      <c r="A27" t="str">
        <f t="shared" si="0"/>
        <v>내연10212</v>
      </c>
      <c r="B27" s="16" t="s">
        <v>28</v>
      </c>
      <c r="C27" s="16">
        <v>10</v>
      </c>
      <c r="D27" s="16">
        <v>2</v>
      </c>
      <c r="E27" s="16">
        <v>1</v>
      </c>
      <c r="F27" s="16">
        <v>2</v>
      </c>
      <c r="G27" s="1">
        <f ca="1">SUMPRODUCT((Master!$A$2:$A$57=$B27)*(Master!$G$2:$G$57+공격력),(Master!$A$2:$A$57=$B27)*Master!$H$2:$H$57,(Master!$A$2:$A$57=$B27)*Master!$D$2:$D$57,(Master!$A$2:$A$57=$B27)*OFFSET(Master!$I$2:$I$57,0,D27-1),(Master!$A$2:$A$57=$B27)*OFFSET(Master!$L$2:$L$57,0,E27-1),(Master!$A$2:$A$57=$B27)*OFFSET(Master!$O$2:$O$57,0,F27-1))+(Master!$G$35+공격력)*Master!$H$35*IF($E27=1,28*2,IF($E27=2,16*2,57.75))</f>
        <v>34282.050019462826</v>
      </c>
      <c r="H27" s="7">
        <f t="shared" si="1"/>
        <v>0.73300000000000054</v>
      </c>
      <c r="I27" s="79">
        <v>272</v>
      </c>
      <c r="J27" s="78" t="s">
        <v>252</v>
      </c>
      <c r="K27" t="str">
        <f>VLOOKUP($B27&amp;1&amp;D27,Sheet3!$A$2:$E$221,5,0)</f>
        <v>이속증가 30% 3초</v>
      </c>
      <c r="L27" t="str">
        <f>VLOOKUP($B27&amp;2&amp;E27,Sheet3!$A$2:$E$221,5,0)</f>
        <v>지속시간 8초 증가</v>
      </c>
      <c r="M27" t="str">
        <f>VLOOKUP($B27&amp;3&amp;F27,Sheet3!$A$2:$E$221,5,0)</f>
        <v>내연끝날때 폭발피해주며 적을 날림</v>
      </c>
      <c r="N27">
        <v>30.331</v>
      </c>
      <c r="O27">
        <v>31.064</v>
      </c>
    </row>
    <row r="28" spans="1:15">
      <c r="A28" t="str">
        <f t="shared" si="0"/>
        <v>내연10221</v>
      </c>
      <c r="B28" s="16" t="s">
        <v>28</v>
      </c>
      <c r="C28" s="16">
        <v>10</v>
      </c>
      <c r="D28" s="16">
        <v>2</v>
      </c>
      <c r="E28" s="16">
        <v>2</v>
      </c>
      <c r="F28" s="16">
        <v>1</v>
      </c>
      <c r="G28" s="1">
        <f ca="1">SUMPRODUCT((Master!$A$2:$A$57=$B28)*(Master!$G$2:$G$57+공격력),(Master!$A$2:$A$57=$B28)*Master!$H$2:$H$57,(Master!$A$2:$A$57=$B28)*Master!$D$2:$D$57,(Master!$A$2:$A$57=$B28)*OFFSET(Master!$I$2:$I$57,0,D28-1),(Master!$A$2:$A$57=$B28)*OFFSET(Master!$L$2:$L$57,0,E28-1),(Master!$A$2:$A$57=$B28)*OFFSET(Master!$O$2:$O$57,0,F28-1))+(Master!$G$35+공격력)*Master!$H$35*IF($E28=1,28*2,IF($E28=2,16*2,57.75))</f>
        <v>17157.313186813186</v>
      </c>
      <c r="H28" s="7">
        <f t="shared" si="1"/>
        <v>0.73300000000000054</v>
      </c>
      <c r="I28" s="79">
        <v>155</v>
      </c>
      <c r="J28" s="78" t="s">
        <v>252</v>
      </c>
      <c r="K28" t="str">
        <f>VLOOKUP($B28&amp;1&amp;D28,Sheet3!$A$2:$E$221,5,0)</f>
        <v>이속증가 30% 3초</v>
      </c>
      <c r="L28" t="str">
        <f>VLOOKUP($B28&amp;2&amp;E28,Sheet3!$A$2:$E$221,5,0)</f>
        <v>쿨 15초 감소, 지속시간 4초감소</v>
      </c>
      <c r="M28" t="str">
        <f>VLOOKUP($B28&amp;3&amp;F28,Sheet3!$A$2:$E$221,5,0)</f>
        <v>공격범위 20%증가, 내연의 치명타 피해 50%증가</v>
      </c>
      <c r="N28">
        <v>30.331</v>
      </c>
      <c r="O28">
        <v>31.064</v>
      </c>
    </row>
    <row r="29" spans="1:15">
      <c r="A29" t="str">
        <f t="shared" si="0"/>
        <v>내연10222</v>
      </c>
      <c r="B29" s="16" t="s">
        <v>28</v>
      </c>
      <c r="C29" s="16">
        <v>10</v>
      </c>
      <c r="D29" s="16">
        <v>2</v>
      </c>
      <c r="E29" s="16">
        <v>2</v>
      </c>
      <c r="F29" s="16">
        <v>2</v>
      </c>
      <c r="G29" s="1">
        <f ca="1">SUMPRODUCT((Master!$A$2:$A$57=$B29)*(Master!$G$2:$G$57+공격력),(Master!$A$2:$A$57=$B29)*Master!$H$2:$H$57,(Master!$A$2:$A$57=$B29)*Master!$D$2:$D$57,(Master!$A$2:$A$57=$B29)*OFFSET(Master!$I$2:$I$57,0,D29-1),(Master!$A$2:$A$57=$B29)*OFFSET(Master!$L$2:$L$57,0,E29-1),(Master!$A$2:$A$57=$B29)*OFFSET(Master!$O$2:$O$57,0,F29-1))+(Master!$G$35+공격력)*Master!$H$35*IF($E29=1,28*2,IF($E29=2,16*2,57.75))</f>
        <v>22186.577491990298</v>
      </c>
      <c r="H29" s="7">
        <f t="shared" si="1"/>
        <v>0.73300000000000054</v>
      </c>
      <c r="I29" s="79">
        <v>160</v>
      </c>
      <c r="J29" s="78" t="s">
        <v>252</v>
      </c>
      <c r="K29" t="str">
        <f>VLOOKUP($B29&amp;1&amp;D29,Sheet3!$A$2:$E$221,5,0)</f>
        <v>이속증가 30% 3초</v>
      </c>
      <c r="L29" t="str">
        <f>VLOOKUP($B29&amp;2&amp;E29,Sheet3!$A$2:$E$221,5,0)</f>
        <v>쿨 15초 감소, 지속시간 4초감소</v>
      </c>
      <c r="M29" t="str">
        <f>VLOOKUP($B29&amp;3&amp;F29,Sheet3!$A$2:$E$221,5,0)</f>
        <v>내연끝날때 폭발피해주며 적을 날림</v>
      </c>
      <c r="N29">
        <v>30.331</v>
      </c>
      <c r="O29">
        <v>31.064</v>
      </c>
    </row>
    <row r="30" spans="1:15">
      <c r="A30" t="str">
        <f t="shared" si="0"/>
        <v>내연10231</v>
      </c>
      <c r="B30" s="16" t="s">
        <v>28</v>
      </c>
      <c r="C30" s="16">
        <v>10</v>
      </c>
      <c r="D30" s="16">
        <v>2</v>
      </c>
      <c r="E30" s="16">
        <v>3</v>
      </c>
      <c r="F30" s="16">
        <v>1</v>
      </c>
      <c r="G30" s="1">
        <f ca="1">SUMPRODUCT((Master!$A$2:$A$57=$B30)*(Master!$G$2:$G$57+공격력),(Master!$A$2:$A$57=$B30)*Master!$H$2:$H$57,(Master!$A$2:$A$57=$B30)*Master!$D$2:$D$57,(Master!$A$2:$A$57=$B30)*OFFSET(Master!$I$2:$I$57,0,D30-1),(Master!$A$2:$A$57=$B30)*OFFSET(Master!$L$2:$L$57,0,E30-1),(Master!$A$2:$A$57=$B30)*OFFSET(Master!$O$2:$O$57,0,F30-1))+(Master!$G$35+공격력)*Master!$H$35*IF($E30=1,28*2,IF($E30=2,16*2,57.75))</f>
        <v>30134.747252747253</v>
      </c>
      <c r="H30" s="7">
        <f t="shared" si="1"/>
        <v>0.73300000000000054</v>
      </c>
      <c r="I30" s="79">
        <v>193</v>
      </c>
      <c r="J30" s="78" t="s">
        <v>252</v>
      </c>
      <c r="K30" t="str">
        <f>VLOOKUP($B30&amp;1&amp;D30,Sheet3!$A$2:$E$221,5,0)</f>
        <v>이속증가 30% 3초</v>
      </c>
      <c r="L30" t="str">
        <f>VLOOKUP($B30&amp;2&amp;E30,Sheet3!$A$2:$E$221,5,0)</f>
        <v>연소피해 5%씩 최대 50%까지 증가</v>
      </c>
      <c r="M30" t="str">
        <f>VLOOKUP($B30&amp;3&amp;F30,Sheet3!$A$2:$E$221,5,0)</f>
        <v>공격범위 20%증가, 내연의 치명타 피해 50%증가</v>
      </c>
      <c r="N30">
        <v>30.331</v>
      </c>
      <c r="O30">
        <v>31.064</v>
      </c>
    </row>
    <row r="31" spans="1:15">
      <c r="A31" t="str">
        <f t="shared" si="0"/>
        <v>내연10232</v>
      </c>
      <c r="B31" s="16" t="s">
        <v>28</v>
      </c>
      <c r="C31" s="16">
        <v>10</v>
      </c>
      <c r="D31" s="16">
        <v>2</v>
      </c>
      <c r="E31" s="16">
        <v>3</v>
      </c>
      <c r="F31" s="16">
        <v>2</v>
      </c>
      <c r="G31" s="1">
        <f ca="1">SUMPRODUCT((Master!$A$2:$A$57=$B31)*(Master!$G$2:$G$57+공격력),(Master!$A$2:$A$57=$B31)*Master!$H$2:$H$57,(Master!$A$2:$A$57=$B31)*Master!$D$2:$D$57,(Master!$A$2:$A$57=$B31)*OFFSET(Master!$I$2:$I$57,0,D31-1),(Master!$A$2:$A$57=$B31)*OFFSET(Master!$L$2:$L$57,0,E31-1),(Master!$A$2:$A$57=$B31)*OFFSET(Master!$O$2:$O$57,0,F31-1))+(Master!$G$35+공격력)*Master!$H$35*IF($E31=1,28*2,IF($E31=2,16*2,57.75))</f>
        <v>35164.011557924365</v>
      </c>
      <c r="H31" s="7">
        <f t="shared" si="1"/>
        <v>0.73300000000000054</v>
      </c>
      <c r="I31" s="79">
        <v>197</v>
      </c>
      <c r="J31" s="78" t="s">
        <v>252</v>
      </c>
      <c r="K31" t="str">
        <f>VLOOKUP($B31&amp;1&amp;D31,Sheet3!$A$2:$E$221,5,0)</f>
        <v>이속증가 30% 3초</v>
      </c>
      <c r="L31" t="str">
        <f>VLOOKUP($B31&amp;2&amp;E31,Sheet3!$A$2:$E$221,5,0)</f>
        <v>연소피해 5%씩 최대 50%까지 증가</v>
      </c>
      <c r="M31" t="str">
        <f>VLOOKUP($B31&amp;3&amp;F31,Sheet3!$A$2:$E$221,5,0)</f>
        <v>내연끝날때 폭발피해주며 적을 날림</v>
      </c>
      <c r="N31">
        <v>30.331</v>
      </c>
      <c r="O31">
        <v>31.064</v>
      </c>
    </row>
    <row r="32" spans="1:15">
      <c r="A32" t="str">
        <f t="shared" si="0"/>
        <v>내연10311</v>
      </c>
      <c r="B32" s="16" t="s">
        <v>28</v>
      </c>
      <c r="C32" s="16">
        <v>10</v>
      </c>
      <c r="D32" s="16">
        <v>3</v>
      </c>
      <c r="E32" s="16">
        <v>1</v>
      </c>
      <c r="F32" s="16">
        <v>1</v>
      </c>
      <c r="G32" s="1">
        <f ca="1">SUMPRODUCT((Master!$A$2:$A$57=$B32)*(Master!$G$2:$G$57+공격력),(Master!$A$2:$A$57=$B32)*Master!$H$2:$H$57,(Master!$A$2:$A$57=$B32)*Master!$D$2:$D$57,(Master!$A$2:$A$57=$B32)*OFFSET(Master!$I$2:$I$57,0,D32-1),(Master!$A$2:$A$57=$B32)*OFFSET(Master!$L$2:$L$57,0,E32-1),(Master!$A$2:$A$57=$B32)*OFFSET(Master!$O$2:$O$57,0,F32-1))+(Master!$G$35+공격력)*Master!$H$35*IF($E32=1,28*2,IF($E32=2,16*2,57.75))</f>
        <v>29252.785714285714</v>
      </c>
      <c r="H32" s="7">
        <f t="shared" si="1"/>
        <v>0.73300000000000054</v>
      </c>
      <c r="I32" s="79">
        <v>269</v>
      </c>
      <c r="J32" s="78" t="s">
        <v>252</v>
      </c>
      <c r="K32" t="str">
        <f>VLOOKUP($B32&amp;1&amp;D32,Sheet3!$A$2:$E$221,5,0)</f>
        <v>버블수급 50%증가(지속시간 변경트포 찍으면 작동안함)</v>
      </c>
      <c r="L32" t="str">
        <f>VLOOKUP($B32&amp;2&amp;E32,Sheet3!$A$2:$E$221,5,0)</f>
        <v>지속시간 8초 증가</v>
      </c>
      <c r="M32" t="str">
        <f>VLOOKUP($B32&amp;3&amp;F32,Sheet3!$A$2:$E$221,5,0)</f>
        <v>공격범위 20%증가, 내연의 치명타 피해 50%증가</v>
      </c>
      <c r="N32">
        <v>30.331</v>
      </c>
      <c r="O32">
        <v>31.064</v>
      </c>
    </row>
    <row r="33" spans="1:15">
      <c r="A33" t="str">
        <f t="shared" si="0"/>
        <v>내연10312</v>
      </c>
      <c r="B33" s="16" t="s">
        <v>28</v>
      </c>
      <c r="C33" s="16">
        <v>10</v>
      </c>
      <c r="D33" s="16">
        <v>3</v>
      </c>
      <c r="E33" s="16">
        <v>1</v>
      </c>
      <c r="F33" s="16">
        <v>2</v>
      </c>
      <c r="G33" s="1">
        <f ca="1">SUMPRODUCT((Master!$A$2:$A$57=$B33)*(Master!$G$2:$G$57+공격력),(Master!$A$2:$A$57=$B33)*Master!$H$2:$H$57,(Master!$A$2:$A$57=$B33)*Master!$D$2:$D$57,(Master!$A$2:$A$57=$B33)*OFFSET(Master!$I$2:$I$57,0,D33-1),(Master!$A$2:$A$57=$B33)*OFFSET(Master!$L$2:$L$57,0,E33-1),(Master!$A$2:$A$57=$B33)*OFFSET(Master!$O$2:$O$57,0,F33-1))+(Master!$G$35+공격력)*Master!$H$35*IF($E33=1,28*2,IF($E33=2,16*2,57.75))</f>
        <v>34282.050019462826</v>
      </c>
      <c r="H33" s="7">
        <f t="shared" si="1"/>
        <v>0.73300000000000054</v>
      </c>
      <c r="I33" s="79">
        <v>276</v>
      </c>
      <c r="J33" s="78" t="s">
        <v>252</v>
      </c>
      <c r="K33" t="str">
        <f>VLOOKUP($B33&amp;1&amp;D33,Sheet3!$A$2:$E$221,5,0)</f>
        <v>버블수급 50%증가(지속시간 변경트포 찍으면 작동안함)</v>
      </c>
      <c r="L33" t="str">
        <f>VLOOKUP($B33&amp;2&amp;E33,Sheet3!$A$2:$E$221,5,0)</f>
        <v>지속시간 8초 증가</v>
      </c>
      <c r="M33" t="str">
        <f>VLOOKUP($B33&amp;3&amp;F33,Sheet3!$A$2:$E$221,5,0)</f>
        <v>내연끝날때 폭발피해주며 적을 날림</v>
      </c>
      <c r="N33">
        <v>30.331</v>
      </c>
      <c r="O33">
        <v>31.064</v>
      </c>
    </row>
    <row r="34" spans="1:15">
      <c r="A34" t="str">
        <f t="shared" si="0"/>
        <v>내연10321</v>
      </c>
      <c r="B34" s="16" t="s">
        <v>28</v>
      </c>
      <c r="C34" s="16">
        <v>10</v>
      </c>
      <c r="D34" s="16">
        <v>3</v>
      </c>
      <c r="E34" s="16">
        <v>2</v>
      </c>
      <c r="F34" s="16">
        <v>1</v>
      </c>
      <c r="G34" s="1">
        <f ca="1">SUMPRODUCT((Master!$A$2:$A$57=$B34)*(Master!$G$2:$G$57+공격력),(Master!$A$2:$A$57=$B34)*Master!$H$2:$H$57,(Master!$A$2:$A$57=$B34)*Master!$D$2:$D$57,(Master!$A$2:$A$57=$B34)*OFFSET(Master!$I$2:$I$57,0,D34-1),(Master!$A$2:$A$57=$B34)*OFFSET(Master!$L$2:$L$57,0,E34-1),(Master!$A$2:$A$57=$B34)*OFFSET(Master!$O$2:$O$57,0,F34-1))+(Master!$G$35+공격력)*Master!$H$35*IF($E34=1,28*2,IF($E34=2,16*2,57.75))</f>
        <v>17157.313186813186</v>
      </c>
      <c r="H34" s="7">
        <f t="shared" si="1"/>
        <v>0.73300000000000054</v>
      </c>
      <c r="I34" s="79">
        <v>158</v>
      </c>
      <c r="J34" s="78" t="s">
        <v>252</v>
      </c>
      <c r="K34" t="str">
        <f>VLOOKUP($B34&amp;1&amp;D34,Sheet3!$A$2:$E$221,5,0)</f>
        <v>버블수급 50%증가(지속시간 변경트포 찍으면 작동안함)</v>
      </c>
      <c r="L34" t="str">
        <f>VLOOKUP($B34&amp;2&amp;E34,Sheet3!$A$2:$E$221,5,0)</f>
        <v>쿨 15초 감소, 지속시간 4초감소</v>
      </c>
      <c r="M34" t="str">
        <f>VLOOKUP($B34&amp;3&amp;F34,Sheet3!$A$2:$E$221,5,0)</f>
        <v>공격범위 20%증가, 내연의 치명타 피해 50%증가</v>
      </c>
      <c r="N34">
        <v>30.331</v>
      </c>
      <c r="O34">
        <v>31.064</v>
      </c>
    </row>
    <row r="35" spans="1:15">
      <c r="A35" t="str">
        <f t="shared" si="0"/>
        <v>내연10322</v>
      </c>
      <c r="B35" s="16" t="s">
        <v>28</v>
      </c>
      <c r="C35" s="16">
        <v>10</v>
      </c>
      <c r="D35" s="16">
        <v>3</v>
      </c>
      <c r="E35" s="16">
        <v>2</v>
      </c>
      <c r="F35" s="16">
        <v>2</v>
      </c>
      <c r="G35" s="1">
        <f ca="1">SUMPRODUCT((Master!$A$2:$A$57=$B35)*(Master!$G$2:$G$57+공격력),(Master!$A$2:$A$57=$B35)*Master!$H$2:$H$57,(Master!$A$2:$A$57=$B35)*Master!$D$2:$D$57,(Master!$A$2:$A$57=$B35)*OFFSET(Master!$I$2:$I$57,0,D35-1),(Master!$A$2:$A$57=$B35)*OFFSET(Master!$L$2:$L$57,0,E35-1),(Master!$A$2:$A$57=$B35)*OFFSET(Master!$O$2:$O$57,0,F35-1))+(Master!$G$35+공격력)*Master!$H$35*IF($E35=1,28*2,IF($E35=2,16*2,57.75))</f>
        <v>22186.577491990298</v>
      </c>
      <c r="H35" s="7">
        <f t="shared" si="1"/>
        <v>0.73300000000000054</v>
      </c>
      <c r="I35" s="79">
        <v>163</v>
      </c>
      <c r="J35" s="78" t="s">
        <v>252</v>
      </c>
      <c r="K35" t="str">
        <f>VLOOKUP($B35&amp;1&amp;D35,Sheet3!$A$2:$E$221,5,0)</f>
        <v>버블수급 50%증가(지속시간 변경트포 찍으면 작동안함)</v>
      </c>
      <c r="L35" t="str">
        <f>VLOOKUP($B35&amp;2&amp;E35,Sheet3!$A$2:$E$221,5,0)</f>
        <v>쿨 15초 감소, 지속시간 4초감소</v>
      </c>
      <c r="M35" t="str">
        <f>VLOOKUP($B35&amp;3&amp;F35,Sheet3!$A$2:$E$221,5,0)</f>
        <v>내연끝날때 폭발피해주며 적을 날림</v>
      </c>
      <c r="N35">
        <v>30.331</v>
      </c>
      <c r="O35">
        <v>31.064</v>
      </c>
    </row>
    <row r="36" spans="1:15">
      <c r="A36" t="str">
        <f t="shared" si="0"/>
        <v>내연10331</v>
      </c>
      <c r="B36" s="16" t="s">
        <v>28</v>
      </c>
      <c r="C36" s="16">
        <v>10</v>
      </c>
      <c r="D36" s="16">
        <v>3</v>
      </c>
      <c r="E36" s="16">
        <v>3</v>
      </c>
      <c r="F36" s="16">
        <v>1</v>
      </c>
      <c r="G36" s="1">
        <f ca="1">SUMPRODUCT((Master!$A$2:$A$57=$B36)*(Master!$G$2:$G$57+공격력),(Master!$A$2:$A$57=$B36)*Master!$H$2:$H$57,(Master!$A$2:$A$57=$B36)*Master!$D$2:$D$57,(Master!$A$2:$A$57=$B36)*OFFSET(Master!$I$2:$I$57,0,D36-1),(Master!$A$2:$A$57=$B36)*OFFSET(Master!$L$2:$L$57,0,E36-1),(Master!$A$2:$A$57=$B36)*OFFSET(Master!$O$2:$O$57,0,F36-1))+(Master!$G$35+공격력)*Master!$H$35*IF($E36=1,28*2,IF($E36=2,16*2,57.75))</f>
        <v>30134.747252747253</v>
      </c>
      <c r="H36" s="7">
        <f t="shared" si="1"/>
        <v>0.73300000000000054</v>
      </c>
      <c r="I36" s="79">
        <v>288</v>
      </c>
      <c r="J36" s="78" t="s">
        <v>252</v>
      </c>
      <c r="K36" t="str">
        <f>VLOOKUP($B36&amp;1&amp;D36,Sheet3!$A$2:$E$221,5,0)</f>
        <v>버블수급 50%증가(지속시간 변경트포 찍으면 작동안함)</v>
      </c>
      <c r="L36" t="str">
        <f>VLOOKUP($B36&amp;2&amp;E36,Sheet3!$A$2:$E$221,5,0)</f>
        <v>연소피해 5%씩 최대 50%까지 증가</v>
      </c>
      <c r="M36" t="str">
        <f>VLOOKUP($B36&amp;3&amp;F36,Sheet3!$A$2:$E$221,5,0)</f>
        <v>공격범위 20%증가, 내연의 치명타 피해 50%증가</v>
      </c>
      <c r="N36">
        <v>30.331</v>
      </c>
      <c r="O36">
        <v>31.064</v>
      </c>
    </row>
    <row r="37" spans="1:15">
      <c r="A37" t="str">
        <f t="shared" si="0"/>
        <v>내연10332</v>
      </c>
      <c r="B37" s="16" t="s">
        <v>28</v>
      </c>
      <c r="C37" s="16">
        <v>10</v>
      </c>
      <c r="D37" s="16">
        <v>3</v>
      </c>
      <c r="E37" s="16">
        <v>3</v>
      </c>
      <c r="F37" s="16">
        <v>2</v>
      </c>
      <c r="G37" s="1">
        <f ca="1">SUMPRODUCT((Master!$A$2:$A$57=$B37)*(Master!$G$2:$G$57+공격력),(Master!$A$2:$A$57=$B37)*Master!$H$2:$H$57,(Master!$A$2:$A$57=$B37)*Master!$D$2:$D$57,(Master!$A$2:$A$57=$B37)*OFFSET(Master!$I$2:$I$57,0,D37-1),(Master!$A$2:$A$57=$B37)*OFFSET(Master!$L$2:$L$57,0,E37-1),(Master!$A$2:$A$57=$B37)*OFFSET(Master!$O$2:$O$57,0,F37-1))+(Master!$G$35+공격력)*Master!$H$35*IF($E37=1,28*2,IF($E37=2,16*2,57.75))</f>
        <v>35164.011557924365</v>
      </c>
      <c r="H37" s="7">
        <f t="shared" si="1"/>
        <v>0.73300000000000054</v>
      </c>
      <c r="I37" s="79">
        <v>293</v>
      </c>
      <c r="J37" s="78" t="s">
        <v>252</v>
      </c>
      <c r="K37" t="str">
        <f>VLOOKUP($B37&amp;1&amp;D37,Sheet3!$A$2:$E$221,5,0)</f>
        <v>버블수급 50%증가(지속시간 변경트포 찍으면 작동안함)</v>
      </c>
      <c r="L37" t="str">
        <f>VLOOKUP($B37&amp;2&amp;E37,Sheet3!$A$2:$E$221,5,0)</f>
        <v>연소피해 5%씩 최대 50%까지 증가</v>
      </c>
      <c r="M37" t="str">
        <f>VLOOKUP($B37&amp;3&amp;F37,Sheet3!$A$2:$E$221,5,0)</f>
        <v>내연끝날때 폭발피해주며 적을 날림</v>
      </c>
      <c r="N37">
        <v>30.331</v>
      </c>
      <c r="O37">
        <v>31.064</v>
      </c>
    </row>
    <row r="38" spans="1:15">
      <c r="A38" t="str">
        <f t="shared" si="0"/>
        <v>뇌명10111</v>
      </c>
      <c r="B38" s="16" t="s">
        <v>25</v>
      </c>
      <c r="C38" s="16">
        <v>10</v>
      </c>
      <c r="D38" s="16">
        <v>1</v>
      </c>
      <c r="E38" s="16">
        <v>1</v>
      </c>
      <c r="F38" s="16">
        <v>1</v>
      </c>
      <c r="G38" s="1">
        <f ca="1">SUMPRODUCT((Master!$A$2:$A$57=$B38)*(Master!$G$2:$G$57+공격력),(Master!$A$2:$A$57=$B38)*Master!$H$2:$H$57,(Master!$A$2:$A$57=$B38)*Master!$D$2:$D$57,(Master!$A$2:$A$57=$B38)*OFFSET(Master!$I$2:$I$57,0,D38-1),(Master!$A$2:$A$57=$B38)*OFFSET(Master!$L$2:$L$57,0,E38-1),(Master!$A$2:$A$57=$B38)*OFFSET(Master!$O$2:$O$57,0,F38-1))</f>
        <v>4378.3780219780219</v>
      </c>
      <c r="H38" s="7">
        <f t="shared" si="1"/>
        <v>1.6660000000000004</v>
      </c>
      <c r="I38" s="79">
        <f>51/4</f>
        <v>12.75</v>
      </c>
      <c r="J38" s="78">
        <v>510</v>
      </c>
      <c r="K38" t="str">
        <f>VLOOKUP($B38&amp;1&amp;D38,Sheet3!$A$2:$E$221,5,0)</f>
        <v>방향전환+이동거리 2m증가</v>
      </c>
      <c r="L38" t="str">
        <f>VLOOKUP($B38&amp;2&amp;E38,Sheet3!$A$2:$E$221,5,0)</f>
        <v>-</v>
      </c>
      <c r="M38" t="str">
        <f>VLOOKUP($B38&amp;3&amp;F38,Sheet3!$A$2:$E$221,5,0)</f>
        <v>발차기1의 타격수 1증가(3-&gt;4) 따라서 시전시간도 증가</v>
      </c>
      <c r="N38">
        <v>2.4009999999999998</v>
      </c>
      <c r="O38">
        <v>4.0670000000000002</v>
      </c>
    </row>
    <row r="39" spans="1:15">
      <c r="A39" t="str">
        <f t="shared" si="0"/>
        <v>뇌명10112</v>
      </c>
      <c r="B39" s="16" t="s">
        <v>25</v>
      </c>
      <c r="C39" s="16">
        <v>10</v>
      </c>
      <c r="D39" s="16">
        <v>1</v>
      </c>
      <c r="E39" s="16">
        <v>1</v>
      </c>
      <c r="F39" s="16">
        <v>2</v>
      </c>
      <c r="G39" s="1">
        <f ca="1">SUMPRODUCT((Master!$A$2:$A$57=$B39)*(Master!$G$2:$G$57+공격력),(Master!$A$2:$A$57=$B39)*Master!$H$2:$H$57,(Master!$A$2:$A$57=$B39)*Master!$D$2:$D$57,(Master!$A$2:$A$57=$B39)*OFFSET(Master!$I$2:$I$57,0,D39-1),(Master!$A$2:$A$57=$B39)*OFFSET(Master!$L$2:$L$57,0,E39-1),(Master!$A$2:$A$57=$B39)*OFFSET(Master!$O$2:$O$57,0,F39-1))</f>
        <v>4985.1182806573961</v>
      </c>
      <c r="H39" s="7">
        <f t="shared" si="1"/>
        <v>0.71600000000000108</v>
      </c>
      <c r="I39" s="79">
        <v>7</v>
      </c>
      <c r="J39" s="78">
        <v>513</v>
      </c>
      <c r="K39" t="str">
        <f>VLOOKUP($B39&amp;1&amp;D39,Sheet3!$A$2:$E$221,5,0)</f>
        <v>방향전환+이동거리 2m증가</v>
      </c>
      <c r="L39" t="str">
        <f>VLOOKUP($B39&amp;2&amp;E39,Sheet3!$A$2:$E$221,5,0)</f>
        <v>-</v>
      </c>
      <c r="M39" t="str">
        <f>VLOOKUP($B39&amp;3&amp;F39,Sheet3!$A$2:$E$221,5,0)</f>
        <v>공격형태 변경. 이동거리 대폭증가</v>
      </c>
      <c r="N39">
        <v>33.933</v>
      </c>
      <c r="O39">
        <v>34.649000000000001</v>
      </c>
    </row>
    <row r="40" spans="1:15">
      <c r="A40" t="str">
        <f t="shared" si="0"/>
        <v>뇌명10121</v>
      </c>
      <c r="B40" s="16" t="s">
        <v>25</v>
      </c>
      <c r="C40" s="16">
        <v>10</v>
      </c>
      <c r="D40" s="16">
        <v>1</v>
      </c>
      <c r="E40" s="16">
        <v>2</v>
      </c>
      <c r="F40" s="16">
        <v>1</v>
      </c>
      <c r="G40" s="1">
        <f ca="1">SUMPRODUCT((Master!$A$2:$A$57=$B40)*(Master!$G$2:$G$57+공격력),(Master!$A$2:$A$57=$B40)*Master!$H$2:$H$57,(Master!$A$2:$A$57=$B40)*Master!$D$2:$D$57,(Master!$A$2:$A$57=$B40)*OFFSET(Master!$I$2:$I$57,0,D40-1),(Master!$A$2:$A$57=$B40)*OFFSET(Master!$L$2:$L$57,0,E40-1),(Master!$A$2:$A$57=$B40)*OFFSET(Master!$O$2:$O$57,0,F40-1))</f>
        <v>3777.098901098901</v>
      </c>
      <c r="H40" s="7">
        <f t="shared" si="1"/>
        <v>1.6829999999999998</v>
      </c>
      <c r="I40" s="79">
        <f>51/4</f>
        <v>12.75</v>
      </c>
      <c r="J40" s="78">
        <v>510</v>
      </c>
      <c r="K40" t="str">
        <f>VLOOKUP($B40&amp;1&amp;D40,Sheet3!$A$2:$E$221,5,0)</f>
        <v>방향전환+이동거리 2m증가</v>
      </c>
      <c r="L40" t="str">
        <f>VLOOKUP($B40&amp;2&amp;E40,Sheet3!$A$2:$E$221,5,0)</f>
        <v>-</v>
      </c>
      <c r="M40" t="str">
        <f>VLOOKUP($B40&amp;3&amp;F40,Sheet3!$A$2:$E$221,5,0)</f>
        <v>발차기1의 타격수 1증가(3-&gt;4) 따라서 시전시간도 증가</v>
      </c>
      <c r="N40">
        <v>24.2</v>
      </c>
      <c r="O40">
        <v>25.882999999999999</v>
      </c>
    </row>
    <row r="41" spans="1:15">
      <c r="A41" t="str">
        <f t="shared" si="0"/>
        <v>뇌명10122</v>
      </c>
      <c r="B41" s="16" t="s">
        <v>25</v>
      </c>
      <c r="C41" s="16">
        <v>10</v>
      </c>
      <c r="D41" s="16">
        <v>1</v>
      </c>
      <c r="E41" s="16">
        <v>2</v>
      </c>
      <c r="F41" s="16">
        <v>2</v>
      </c>
      <c r="G41" s="1">
        <f ca="1">SUMPRODUCT((Master!$A$2:$A$57=$B41)*(Master!$G$2:$G$57+공격력),(Master!$A$2:$A$57=$B41)*Master!$H$2:$H$57,(Master!$A$2:$A$57=$B41)*Master!$D$2:$D$57,(Master!$A$2:$A$57=$B41)*OFFSET(Master!$I$2:$I$57,0,D41-1),(Master!$A$2:$A$57=$B41)*OFFSET(Master!$L$2:$L$57,0,E41-1),(Master!$A$2:$A$57=$B41)*OFFSET(Master!$O$2:$O$57,0,F41-1))</f>
        <v>3834.7063697364583</v>
      </c>
      <c r="H41" s="7">
        <f t="shared" si="1"/>
        <v>0.85000000000000142</v>
      </c>
      <c r="I41" s="79">
        <v>7</v>
      </c>
      <c r="J41" s="78">
        <v>513</v>
      </c>
      <c r="K41" t="str">
        <f>VLOOKUP($B41&amp;1&amp;D41,Sheet3!$A$2:$E$221,5,0)</f>
        <v>방향전환+이동거리 2m증가</v>
      </c>
      <c r="L41" t="str">
        <f>VLOOKUP($B41&amp;2&amp;E41,Sheet3!$A$2:$E$221,5,0)</f>
        <v>-</v>
      </c>
      <c r="M41" t="str">
        <f>VLOOKUP($B41&amp;3&amp;F41,Sheet3!$A$2:$E$221,5,0)</f>
        <v>공격형태 변경. 이동거리 대폭증가</v>
      </c>
      <c r="N41">
        <v>45.731999999999999</v>
      </c>
      <c r="O41">
        <v>46.582000000000001</v>
      </c>
    </row>
    <row r="42" spans="1:15">
      <c r="A42" t="str">
        <f t="shared" si="0"/>
        <v>뇌명10131</v>
      </c>
      <c r="B42" s="16" t="s">
        <v>25</v>
      </c>
      <c r="C42" s="16">
        <v>10</v>
      </c>
      <c r="D42" s="16">
        <v>1</v>
      </c>
      <c r="E42" s="16">
        <v>3</v>
      </c>
      <c r="F42" s="16">
        <v>1</v>
      </c>
      <c r="G42" s="1">
        <f ca="1">SUMPRODUCT((Master!$A$2:$A$57=$B42)*(Master!$G$2:$G$57+공격력),(Master!$A$2:$A$57=$B42)*Master!$H$2:$H$57,(Master!$A$2:$A$57=$B42)*Master!$D$2:$D$57,(Master!$A$2:$A$57=$B42)*OFFSET(Master!$I$2:$I$57,0,D42-1),(Master!$A$2:$A$57=$B42)*OFFSET(Master!$L$2:$L$57,0,E42-1),(Master!$A$2:$A$57=$B42)*OFFSET(Master!$O$2:$O$57,0,F42-1))</f>
        <v>3777.098901098901</v>
      </c>
      <c r="H42" s="7">
        <f t="shared" si="1"/>
        <v>1.6829999999999998</v>
      </c>
      <c r="I42" s="79">
        <f>51/4</f>
        <v>12.75</v>
      </c>
      <c r="J42" s="78">
        <v>510</v>
      </c>
      <c r="K42" t="str">
        <f>VLOOKUP($B42&amp;1&amp;D42,Sheet3!$A$2:$E$221,5,0)</f>
        <v>방향전환+이동거리 2m증가</v>
      </c>
      <c r="L42" t="str">
        <f>VLOOKUP($B42&amp;2&amp;E42,Sheet3!$A$2:$E$221,5,0)</f>
        <v>막타에 50%확률로 전격(총 기본피해의 18%추정)</v>
      </c>
      <c r="M42" t="str">
        <f>VLOOKUP($B42&amp;3&amp;F42,Sheet3!$A$2:$E$221,5,0)</f>
        <v>발차기1의 타격수 1증가(3-&gt;4) 따라서 시전시간도 증가</v>
      </c>
      <c r="N42">
        <v>24.2</v>
      </c>
      <c r="O42">
        <v>25.882999999999999</v>
      </c>
    </row>
    <row r="43" spans="1:15">
      <c r="A43" t="str">
        <f t="shared" si="0"/>
        <v>뇌명10132</v>
      </c>
      <c r="B43" s="16" t="s">
        <v>25</v>
      </c>
      <c r="C43" s="16">
        <v>10</v>
      </c>
      <c r="D43" s="16">
        <v>1</v>
      </c>
      <c r="E43" s="16">
        <v>3</v>
      </c>
      <c r="F43" s="16">
        <v>2</v>
      </c>
      <c r="G43" s="1">
        <f ca="1">SUMPRODUCT((Master!$A$2:$A$57=$B43)*(Master!$G$2:$G$57+공격력),(Master!$A$2:$A$57=$B43)*Master!$H$2:$H$57,(Master!$A$2:$A$57=$B43)*Master!$D$2:$D$57,(Master!$A$2:$A$57=$B43)*OFFSET(Master!$I$2:$I$57,0,D43-1),(Master!$A$2:$A$57=$B43)*OFFSET(Master!$L$2:$L$57,0,E43-1),(Master!$A$2:$A$57=$B43)*OFFSET(Master!$O$2:$O$57,0,F43-1))</f>
        <v>3834.7063697364583</v>
      </c>
      <c r="H43" s="7">
        <f t="shared" si="1"/>
        <v>0.85000000000000142</v>
      </c>
      <c r="I43" s="79">
        <v>7</v>
      </c>
      <c r="J43" s="78">
        <v>513</v>
      </c>
      <c r="K43" t="str">
        <f>VLOOKUP($B43&amp;1&amp;D43,Sheet3!$A$2:$E$221,5,0)</f>
        <v>방향전환+이동거리 2m증가</v>
      </c>
      <c r="L43" t="str">
        <f>VLOOKUP($B43&amp;2&amp;E43,Sheet3!$A$2:$E$221,5,0)</f>
        <v>막타에 50%확률로 전격(총 기본피해의 18%추정)</v>
      </c>
      <c r="M43" t="str">
        <f>VLOOKUP($B43&amp;3&amp;F43,Sheet3!$A$2:$E$221,5,0)</f>
        <v>공격형태 변경. 이동거리 대폭증가</v>
      </c>
      <c r="N43">
        <v>45.731999999999999</v>
      </c>
      <c r="O43">
        <v>46.582000000000001</v>
      </c>
    </row>
    <row r="44" spans="1:15">
      <c r="A44" t="str">
        <f t="shared" si="0"/>
        <v>뇌명10211</v>
      </c>
      <c r="B44" s="16" t="s">
        <v>25</v>
      </c>
      <c r="C44" s="16">
        <v>10</v>
      </c>
      <c r="D44" s="16">
        <v>2</v>
      </c>
      <c r="E44" s="16">
        <v>1</v>
      </c>
      <c r="F44" s="16">
        <v>1</v>
      </c>
      <c r="G44" s="1">
        <f ca="1">SUMPRODUCT((Master!$A$2:$A$57=$B44)*(Master!$G$2:$G$57+공격력),(Master!$A$2:$A$57=$B44)*Master!$H$2:$H$57,(Master!$A$2:$A$57=$B44)*Master!$D$2:$D$57,(Master!$A$2:$A$57=$B44)*OFFSET(Master!$I$2:$I$57,0,D44-1),(Master!$A$2:$A$57=$B44)*OFFSET(Master!$L$2:$L$57,0,E44-1),(Master!$A$2:$A$57=$B44)*OFFSET(Master!$O$2:$O$57,0,F44-1))</f>
        <v>4378.3780219780219</v>
      </c>
      <c r="H44" s="7">
        <f t="shared" si="1"/>
        <v>1.6660000000000004</v>
      </c>
      <c r="I44" s="79">
        <f>49/3</f>
        <v>16.333333333333332</v>
      </c>
      <c r="J44" s="78">
        <v>510</v>
      </c>
      <c r="K44" t="str">
        <f>VLOOKUP($B44&amp;1&amp;D44,Sheet3!$A$2:$E$221,5,0)</f>
        <v>막타 버블수급 30%증가</v>
      </c>
      <c r="L44" t="str">
        <f>VLOOKUP($B44&amp;2&amp;E44,Sheet3!$A$2:$E$221,5,0)</f>
        <v>-</v>
      </c>
      <c r="M44" t="str">
        <f>VLOOKUP($B44&amp;3&amp;F44,Sheet3!$A$2:$E$221,5,0)</f>
        <v>발차기1의 타격수 1증가(3-&gt;4) 따라서 시전시간도 증가</v>
      </c>
      <c r="N44">
        <v>2.4009999999999998</v>
      </c>
      <c r="O44">
        <v>4.0670000000000002</v>
      </c>
    </row>
    <row r="45" spans="1:15">
      <c r="A45" t="str">
        <f t="shared" si="0"/>
        <v>뇌명10212</v>
      </c>
      <c r="B45" s="16" t="s">
        <v>25</v>
      </c>
      <c r="C45" s="16">
        <v>10</v>
      </c>
      <c r="D45" s="16">
        <v>2</v>
      </c>
      <c r="E45" s="16">
        <v>1</v>
      </c>
      <c r="F45" s="16">
        <v>2</v>
      </c>
      <c r="G45" s="1">
        <f ca="1">SUMPRODUCT((Master!$A$2:$A$57=$B45)*(Master!$G$2:$G$57+공격력),(Master!$A$2:$A$57=$B45)*Master!$H$2:$H$57,(Master!$A$2:$A$57=$B45)*Master!$D$2:$D$57,(Master!$A$2:$A$57=$B45)*OFFSET(Master!$I$2:$I$57,0,D45-1),(Master!$A$2:$A$57=$B45)*OFFSET(Master!$L$2:$L$57,0,E45-1),(Master!$A$2:$A$57=$B45)*OFFSET(Master!$O$2:$O$57,0,F45-1))</f>
        <v>4985.1182806573961</v>
      </c>
      <c r="H45" s="7">
        <f t="shared" si="1"/>
        <v>0.71600000000000108</v>
      </c>
      <c r="I45" s="79">
        <f>42/3</f>
        <v>14</v>
      </c>
      <c r="J45" s="78">
        <v>513</v>
      </c>
      <c r="K45" t="str">
        <f>VLOOKUP($B45&amp;1&amp;D45,Sheet3!$A$2:$E$221,5,0)</f>
        <v>막타 버블수급 30%증가</v>
      </c>
      <c r="L45" t="str">
        <f>VLOOKUP($B45&amp;2&amp;E45,Sheet3!$A$2:$E$221,5,0)</f>
        <v>-</v>
      </c>
      <c r="M45" t="str">
        <f>VLOOKUP($B45&amp;3&amp;F45,Sheet3!$A$2:$E$221,5,0)</f>
        <v>공격형태 변경. 이동거리 대폭증가</v>
      </c>
      <c r="N45">
        <v>33.933</v>
      </c>
      <c r="O45">
        <v>34.649000000000001</v>
      </c>
    </row>
    <row r="46" spans="1:15">
      <c r="A46" t="str">
        <f t="shared" si="0"/>
        <v>뇌명10221</v>
      </c>
      <c r="B46" s="16" t="s">
        <v>25</v>
      </c>
      <c r="C46" s="16">
        <v>10</v>
      </c>
      <c r="D46" s="16">
        <v>2</v>
      </c>
      <c r="E46" s="16">
        <v>2</v>
      </c>
      <c r="F46" s="16">
        <v>1</v>
      </c>
      <c r="G46" s="1">
        <f ca="1">SUMPRODUCT((Master!$A$2:$A$57=$B46)*(Master!$G$2:$G$57+공격력),(Master!$A$2:$A$57=$B46)*Master!$H$2:$H$57,(Master!$A$2:$A$57=$B46)*Master!$D$2:$D$57,(Master!$A$2:$A$57=$B46)*OFFSET(Master!$I$2:$I$57,0,D46-1),(Master!$A$2:$A$57=$B46)*OFFSET(Master!$L$2:$L$57,0,E46-1),(Master!$A$2:$A$57=$B46)*OFFSET(Master!$O$2:$O$57,0,F46-1))</f>
        <v>3777.098901098901</v>
      </c>
      <c r="H46" s="7">
        <f t="shared" si="1"/>
        <v>1.6829999999999998</v>
      </c>
      <c r="I46" s="79">
        <f>49/3</f>
        <v>16.333333333333332</v>
      </c>
      <c r="J46" s="78">
        <v>510</v>
      </c>
      <c r="K46" t="str">
        <f>VLOOKUP($B46&amp;1&amp;D46,Sheet3!$A$2:$E$221,5,0)</f>
        <v>막타 버블수급 30%증가</v>
      </c>
      <c r="L46" t="str">
        <f>VLOOKUP($B46&amp;2&amp;E46,Sheet3!$A$2:$E$221,5,0)</f>
        <v>-</v>
      </c>
      <c r="M46" t="str">
        <f>VLOOKUP($B46&amp;3&amp;F46,Sheet3!$A$2:$E$221,5,0)</f>
        <v>발차기1의 타격수 1증가(3-&gt;4) 따라서 시전시간도 증가</v>
      </c>
      <c r="N46">
        <v>24.2</v>
      </c>
      <c r="O46">
        <v>25.882999999999999</v>
      </c>
    </row>
    <row r="47" spans="1:15">
      <c r="A47" t="str">
        <f t="shared" si="0"/>
        <v>뇌명10222</v>
      </c>
      <c r="B47" s="16" t="s">
        <v>25</v>
      </c>
      <c r="C47" s="16">
        <v>10</v>
      </c>
      <c r="D47" s="16">
        <v>2</v>
      </c>
      <c r="E47" s="16">
        <v>2</v>
      </c>
      <c r="F47" s="16">
        <v>2</v>
      </c>
      <c r="G47" s="1">
        <f ca="1">SUMPRODUCT((Master!$A$2:$A$57=$B47)*(Master!$G$2:$G$57+공격력),(Master!$A$2:$A$57=$B47)*Master!$H$2:$H$57,(Master!$A$2:$A$57=$B47)*Master!$D$2:$D$57,(Master!$A$2:$A$57=$B47)*OFFSET(Master!$I$2:$I$57,0,D47-1),(Master!$A$2:$A$57=$B47)*OFFSET(Master!$L$2:$L$57,0,E47-1),(Master!$A$2:$A$57=$B47)*OFFSET(Master!$O$2:$O$57,0,F47-1))</f>
        <v>3834.7063697364583</v>
      </c>
      <c r="H47" s="7">
        <f t="shared" si="1"/>
        <v>0.85000000000000142</v>
      </c>
      <c r="I47" s="79">
        <f>42/3</f>
        <v>14</v>
      </c>
      <c r="J47" s="78">
        <v>513</v>
      </c>
      <c r="K47" t="str">
        <f>VLOOKUP($B47&amp;1&amp;D47,Sheet3!$A$2:$E$221,5,0)</f>
        <v>막타 버블수급 30%증가</v>
      </c>
      <c r="L47" t="str">
        <f>VLOOKUP($B47&amp;2&amp;E47,Sheet3!$A$2:$E$221,5,0)</f>
        <v>-</v>
      </c>
      <c r="M47" t="str">
        <f>VLOOKUP($B47&amp;3&amp;F47,Sheet3!$A$2:$E$221,5,0)</f>
        <v>공격형태 변경. 이동거리 대폭증가</v>
      </c>
      <c r="N47">
        <v>45.731999999999999</v>
      </c>
      <c r="O47">
        <v>46.582000000000001</v>
      </c>
    </row>
    <row r="48" spans="1:15">
      <c r="A48" t="str">
        <f t="shared" si="0"/>
        <v>뇌명10231</v>
      </c>
      <c r="B48" s="16" t="s">
        <v>25</v>
      </c>
      <c r="C48" s="16">
        <v>10</v>
      </c>
      <c r="D48" s="16">
        <v>2</v>
      </c>
      <c r="E48" s="16">
        <v>3</v>
      </c>
      <c r="F48" s="16">
        <v>1</v>
      </c>
      <c r="G48" s="1">
        <f ca="1">SUMPRODUCT((Master!$A$2:$A$57=$B48)*(Master!$G$2:$G$57+공격력),(Master!$A$2:$A$57=$B48)*Master!$H$2:$H$57,(Master!$A$2:$A$57=$B48)*Master!$D$2:$D$57,(Master!$A$2:$A$57=$B48)*OFFSET(Master!$I$2:$I$57,0,D48-1),(Master!$A$2:$A$57=$B48)*OFFSET(Master!$L$2:$L$57,0,E48-1),(Master!$A$2:$A$57=$B48)*OFFSET(Master!$O$2:$O$57,0,F48-1))</f>
        <v>3777.098901098901</v>
      </c>
      <c r="H48" s="7">
        <f t="shared" si="1"/>
        <v>1.6829999999999998</v>
      </c>
      <c r="I48" s="79">
        <f>49/3</f>
        <v>16.333333333333332</v>
      </c>
      <c r="J48" s="78">
        <v>510</v>
      </c>
      <c r="K48" t="str">
        <f>VLOOKUP($B48&amp;1&amp;D48,Sheet3!$A$2:$E$221,5,0)</f>
        <v>막타 버블수급 30%증가</v>
      </c>
      <c r="L48" t="str">
        <f>VLOOKUP($B48&amp;2&amp;E48,Sheet3!$A$2:$E$221,5,0)</f>
        <v>막타에 50%확률로 전격(총 기본피해의 18%추정)</v>
      </c>
      <c r="M48" t="str">
        <f>VLOOKUP($B48&amp;3&amp;F48,Sheet3!$A$2:$E$221,5,0)</f>
        <v>발차기1의 타격수 1증가(3-&gt;4) 따라서 시전시간도 증가</v>
      </c>
      <c r="N48">
        <v>24.2</v>
      </c>
      <c r="O48">
        <v>25.882999999999999</v>
      </c>
    </row>
    <row r="49" spans="1:15">
      <c r="A49" t="str">
        <f t="shared" si="0"/>
        <v>뇌명10232</v>
      </c>
      <c r="B49" s="16" t="s">
        <v>25</v>
      </c>
      <c r="C49" s="16">
        <v>10</v>
      </c>
      <c r="D49" s="16">
        <v>2</v>
      </c>
      <c r="E49" s="16">
        <v>3</v>
      </c>
      <c r="F49" s="16">
        <v>2</v>
      </c>
      <c r="G49" s="1">
        <f ca="1">SUMPRODUCT((Master!$A$2:$A$57=$B49)*(Master!$G$2:$G$57+공격력),(Master!$A$2:$A$57=$B49)*Master!$H$2:$H$57,(Master!$A$2:$A$57=$B49)*Master!$D$2:$D$57,(Master!$A$2:$A$57=$B49)*OFFSET(Master!$I$2:$I$57,0,D49-1),(Master!$A$2:$A$57=$B49)*OFFSET(Master!$L$2:$L$57,0,E49-1),(Master!$A$2:$A$57=$B49)*OFFSET(Master!$O$2:$O$57,0,F49-1))</f>
        <v>3834.7063697364583</v>
      </c>
      <c r="H49" s="7">
        <f t="shared" si="1"/>
        <v>0.85000000000000142</v>
      </c>
      <c r="I49" s="79">
        <f>42/3</f>
        <v>14</v>
      </c>
      <c r="J49" s="78">
        <v>513</v>
      </c>
      <c r="K49" t="str">
        <f>VLOOKUP($B49&amp;1&amp;D49,Sheet3!$A$2:$E$221,5,0)</f>
        <v>막타 버블수급 30%증가</v>
      </c>
      <c r="L49" t="str">
        <f>VLOOKUP($B49&amp;2&amp;E49,Sheet3!$A$2:$E$221,5,0)</f>
        <v>막타에 50%확률로 전격(총 기본피해의 18%추정)</v>
      </c>
      <c r="M49" t="str">
        <f>VLOOKUP($B49&amp;3&amp;F49,Sheet3!$A$2:$E$221,5,0)</f>
        <v>공격형태 변경. 이동거리 대폭증가</v>
      </c>
      <c r="N49">
        <v>45.731999999999999</v>
      </c>
      <c r="O49">
        <v>46.582000000000001</v>
      </c>
    </row>
    <row r="50" spans="1:15">
      <c r="A50" t="str">
        <f t="shared" si="0"/>
        <v>뇌명10311</v>
      </c>
      <c r="B50" s="16" t="s">
        <v>25</v>
      </c>
      <c r="C50" s="16">
        <v>10</v>
      </c>
      <c r="D50" s="16">
        <v>3</v>
      </c>
      <c r="E50" s="16">
        <v>1</v>
      </c>
      <c r="F50" s="16">
        <v>1</v>
      </c>
      <c r="G50" s="1">
        <f ca="1">SUMPRODUCT((Master!$A$2:$A$57=$B50)*(Master!$G$2:$G$57+공격력),(Master!$A$2:$A$57=$B50)*Master!$H$2:$H$57,(Master!$A$2:$A$57=$B50)*Master!$D$2:$D$57,(Master!$A$2:$A$57=$B50)*OFFSET(Master!$I$2:$I$57,0,D50-1),(Master!$A$2:$A$57=$B50)*OFFSET(Master!$L$2:$L$57,0,E50-1),(Master!$A$2:$A$57=$B50)*OFFSET(Master!$O$2:$O$57,0,F50-1))</f>
        <v>4378.3780219780219</v>
      </c>
      <c r="H50" s="7">
        <f t="shared" si="1"/>
        <v>1.6660000000000004</v>
      </c>
      <c r="I50" s="79">
        <f>43/4</f>
        <v>10.75</v>
      </c>
      <c r="J50" s="78">
        <v>510</v>
      </c>
      <c r="K50" t="str">
        <f>VLOOKUP($B50&amp;1&amp;D50,Sheet3!$A$2:$E$221,5,0)</f>
        <v>-</v>
      </c>
      <c r="L50" t="str">
        <f>VLOOKUP($B50&amp;2&amp;E50,Sheet3!$A$2:$E$221,5,0)</f>
        <v>-</v>
      </c>
      <c r="M50" t="str">
        <f>VLOOKUP($B50&amp;3&amp;F50,Sheet3!$A$2:$E$221,5,0)</f>
        <v>발차기1의 타격수 1증가(3-&gt;4) 따라서 시전시간도 증가</v>
      </c>
      <c r="N50">
        <v>2.4009999999999998</v>
      </c>
      <c r="O50">
        <v>4.0670000000000002</v>
      </c>
    </row>
    <row r="51" spans="1:15">
      <c r="A51" t="str">
        <f t="shared" si="0"/>
        <v>뇌명10312</v>
      </c>
      <c r="B51" s="16" t="s">
        <v>25</v>
      </c>
      <c r="C51" s="16">
        <v>10</v>
      </c>
      <c r="D51" s="16">
        <v>3</v>
      </c>
      <c r="E51" s="16">
        <v>1</v>
      </c>
      <c r="F51" s="16">
        <v>2</v>
      </c>
      <c r="G51" s="1">
        <f ca="1">SUMPRODUCT((Master!$A$2:$A$57=$B51)*(Master!$G$2:$G$57+공격력),(Master!$A$2:$A$57=$B51)*Master!$H$2:$H$57,(Master!$A$2:$A$57=$B51)*Master!$D$2:$D$57,(Master!$A$2:$A$57=$B51)*OFFSET(Master!$I$2:$I$57,0,D51-1),(Master!$A$2:$A$57=$B51)*OFFSET(Master!$L$2:$L$57,0,E51-1),(Master!$A$2:$A$57=$B51)*OFFSET(Master!$O$2:$O$57,0,F51-1))</f>
        <v>4985.1182806573961</v>
      </c>
      <c r="H51" s="7">
        <f t="shared" si="1"/>
        <v>0.71600000000000108</v>
      </c>
      <c r="I51" s="79">
        <v>7</v>
      </c>
      <c r="J51" s="78">
        <v>513</v>
      </c>
      <c r="K51" t="str">
        <f>VLOOKUP($B51&amp;1&amp;D51,Sheet3!$A$2:$E$221,5,0)</f>
        <v>-</v>
      </c>
      <c r="L51" t="str">
        <f>VLOOKUP($B51&amp;2&amp;E51,Sheet3!$A$2:$E$221,5,0)</f>
        <v>-</v>
      </c>
      <c r="M51" t="str">
        <f>VLOOKUP($B51&amp;3&amp;F51,Sheet3!$A$2:$E$221,5,0)</f>
        <v>공격형태 변경. 이동거리 대폭증가</v>
      </c>
      <c r="N51">
        <v>33.933</v>
      </c>
      <c r="O51">
        <v>34.649000000000001</v>
      </c>
    </row>
    <row r="52" spans="1:15">
      <c r="A52" t="str">
        <f t="shared" si="0"/>
        <v>뇌명10321</v>
      </c>
      <c r="B52" s="16" t="s">
        <v>25</v>
      </c>
      <c r="C52" s="16">
        <v>10</v>
      </c>
      <c r="D52" s="16">
        <v>3</v>
      </c>
      <c r="E52" s="16">
        <v>2</v>
      </c>
      <c r="F52" s="16">
        <v>1</v>
      </c>
      <c r="G52" s="1">
        <f ca="1">SUMPRODUCT((Master!$A$2:$A$57=$B52)*(Master!$G$2:$G$57+공격력),(Master!$A$2:$A$57=$B52)*Master!$H$2:$H$57,(Master!$A$2:$A$57=$B52)*Master!$D$2:$D$57,(Master!$A$2:$A$57=$B52)*OFFSET(Master!$I$2:$I$57,0,D52-1),(Master!$A$2:$A$57=$B52)*OFFSET(Master!$L$2:$L$57,0,E52-1),(Master!$A$2:$A$57=$B52)*OFFSET(Master!$O$2:$O$57,0,F52-1))</f>
        <v>3777.098901098901</v>
      </c>
      <c r="H52" s="7">
        <f t="shared" si="1"/>
        <v>1.6829999999999998</v>
      </c>
      <c r="I52" s="79">
        <f>43/4</f>
        <v>10.75</v>
      </c>
      <c r="J52" s="78">
        <v>510</v>
      </c>
      <c r="K52" t="str">
        <f>VLOOKUP($B52&amp;1&amp;D52,Sheet3!$A$2:$E$221,5,0)</f>
        <v>-</v>
      </c>
      <c r="L52" t="str">
        <f>VLOOKUP($B52&amp;2&amp;E52,Sheet3!$A$2:$E$221,5,0)</f>
        <v>-</v>
      </c>
      <c r="M52" t="str">
        <f>VLOOKUP($B52&amp;3&amp;F52,Sheet3!$A$2:$E$221,5,0)</f>
        <v>발차기1의 타격수 1증가(3-&gt;4) 따라서 시전시간도 증가</v>
      </c>
      <c r="N52">
        <v>24.2</v>
      </c>
      <c r="O52">
        <v>25.882999999999999</v>
      </c>
    </row>
    <row r="53" spans="1:15">
      <c r="A53" t="str">
        <f t="shared" si="0"/>
        <v>뇌명10322</v>
      </c>
      <c r="B53" s="16" t="s">
        <v>25</v>
      </c>
      <c r="C53" s="16">
        <v>10</v>
      </c>
      <c r="D53" s="16">
        <v>3</v>
      </c>
      <c r="E53" s="16">
        <v>2</v>
      </c>
      <c r="F53" s="16">
        <v>2</v>
      </c>
      <c r="G53" s="1">
        <f ca="1">SUMPRODUCT((Master!$A$2:$A$57=$B53)*(Master!$G$2:$G$57+공격력),(Master!$A$2:$A$57=$B53)*Master!$H$2:$H$57,(Master!$A$2:$A$57=$B53)*Master!$D$2:$D$57,(Master!$A$2:$A$57=$B53)*OFFSET(Master!$I$2:$I$57,0,D53-1),(Master!$A$2:$A$57=$B53)*OFFSET(Master!$L$2:$L$57,0,E53-1),(Master!$A$2:$A$57=$B53)*OFFSET(Master!$O$2:$O$57,0,F53-1))</f>
        <v>3834.7063697364583</v>
      </c>
      <c r="H53" s="7">
        <f t="shared" si="1"/>
        <v>0.85000000000000142</v>
      </c>
      <c r="I53" s="79">
        <v>7</v>
      </c>
      <c r="J53" s="78">
        <v>513</v>
      </c>
      <c r="K53" t="str">
        <f>VLOOKUP($B53&amp;1&amp;D53,Sheet3!$A$2:$E$221,5,0)</f>
        <v>-</v>
      </c>
      <c r="L53" t="str">
        <f>VLOOKUP($B53&amp;2&amp;E53,Sheet3!$A$2:$E$221,5,0)</f>
        <v>-</v>
      </c>
      <c r="M53" t="str">
        <f>VLOOKUP($B53&amp;3&amp;F53,Sheet3!$A$2:$E$221,5,0)</f>
        <v>공격형태 변경. 이동거리 대폭증가</v>
      </c>
      <c r="N53">
        <v>45.731999999999999</v>
      </c>
      <c r="O53">
        <v>46.582000000000001</v>
      </c>
    </row>
    <row r="54" spans="1:15">
      <c r="A54" t="str">
        <f t="shared" si="0"/>
        <v>뇌명10331</v>
      </c>
      <c r="B54" s="16" t="s">
        <v>25</v>
      </c>
      <c r="C54" s="16">
        <v>10</v>
      </c>
      <c r="D54" s="16">
        <v>3</v>
      </c>
      <c r="E54" s="16">
        <v>3</v>
      </c>
      <c r="F54" s="16">
        <v>1</v>
      </c>
      <c r="G54" s="1">
        <f ca="1">SUMPRODUCT((Master!$A$2:$A$57=$B54)*(Master!$G$2:$G$57+공격력),(Master!$A$2:$A$57=$B54)*Master!$H$2:$H$57,(Master!$A$2:$A$57=$B54)*Master!$D$2:$D$57,(Master!$A$2:$A$57=$B54)*OFFSET(Master!$I$2:$I$57,0,D54-1),(Master!$A$2:$A$57=$B54)*OFFSET(Master!$L$2:$L$57,0,E54-1),(Master!$A$2:$A$57=$B54)*OFFSET(Master!$O$2:$O$57,0,F54-1))</f>
        <v>3777.098901098901</v>
      </c>
      <c r="H54" s="7">
        <f t="shared" si="1"/>
        <v>1.6829999999999998</v>
      </c>
      <c r="I54" s="79">
        <f>43/4</f>
        <v>10.75</v>
      </c>
      <c r="J54" s="78">
        <v>510</v>
      </c>
      <c r="K54" t="str">
        <f>VLOOKUP($B54&amp;1&amp;D54,Sheet3!$A$2:$E$221,5,0)</f>
        <v>-</v>
      </c>
      <c r="L54" t="str">
        <f>VLOOKUP($B54&amp;2&amp;E54,Sheet3!$A$2:$E$221,5,0)</f>
        <v>막타에 50%확률로 전격(총 기본피해의 18%추정)</v>
      </c>
      <c r="M54" t="str">
        <f>VLOOKUP($B54&amp;3&amp;F54,Sheet3!$A$2:$E$221,5,0)</f>
        <v>발차기1의 타격수 1증가(3-&gt;4) 따라서 시전시간도 증가</v>
      </c>
      <c r="N54">
        <v>24.2</v>
      </c>
      <c r="O54">
        <v>25.882999999999999</v>
      </c>
    </row>
    <row r="55" spans="1:15">
      <c r="A55" t="str">
        <f t="shared" si="0"/>
        <v>뇌명10332</v>
      </c>
      <c r="B55" s="16" t="s">
        <v>25</v>
      </c>
      <c r="C55" s="16">
        <v>10</v>
      </c>
      <c r="D55" s="16">
        <v>3</v>
      </c>
      <c r="E55" s="16">
        <v>3</v>
      </c>
      <c r="F55" s="16">
        <v>2</v>
      </c>
      <c r="G55" s="1">
        <f ca="1">SUMPRODUCT((Master!$A$2:$A$57=$B55)*(Master!$G$2:$G$57+공격력),(Master!$A$2:$A$57=$B55)*Master!$H$2:$H$57,(Master!$A$2:$A$57=$B55)*Master!$D$2:$D$57,(Master!$A$2:$A$57=$B55)*OFFSET(Master!$I$2:$I$57,0,D55-1),(Master!$A$2:$A$57=$B55)*OFFSET(Master!$L$2:$L$57,0,E55-1),(Master!$A$2:$A$57=$B55)*OFFSET(Master!$O$2:$O$57,0,F55-1))</f>
        <v>3834.7063697364583</v>
      </c>
      <c r="H55" s="7">
        <f t="shared" si="1"/>
        <v>0.85000000000000142</v>
      </c>
      <c r="I55" s="79">
        <v>7</v>
      </c>
      <c r="J55" s="78">
        <v>513</v>
      </c>
      <c r="K55" t="str">
        <f>VLOOKUP($B55&amp;1&amp;D55,Sheet3!$A$2:$E$221,5,0)</f>
        <v>-</v>
      </c>
      <c r="L55" t="str">
        <f>VLOOKUP($B55&amp;2&amp;E55,Sheet3!$A$2:$E$221,5,0)</f>
        <v>막타에 50%확률로 전격(총 기본피해의 18%추정)</v>
      </c>
      <c r="M55" t="str">
        <f>VLOOKUP($B55&amp;3&amp;F55,Sheet3!$A$2:$E$221,5,0)</f>
        <v>공격형태 변경. 이동거리 대폭증가</v>
      </c>
      <c r="N55">
        <v>45.731999999999999</v>
      </c>
      <c r="O55">
        <v>46.582000000000001</v>
      </c>
    </row>
    <row r="56" spans="1:15">
      <c r="A56" t="str">
        <f t="shared" si="0"/>
        <v>뇌진10111</v>
      </c>
      <c r="B56" s="16" t="s">
        <v>11</v>
      </c>
      <c r="C56" s="16">
        <v>10</v>
      </c>
      <c r="D56" s="16">
        <v>1</v>
      </c>
      <c r="E56" s="16">
        <v>1</v>
      </c>
      <c r="F56" s="16">
        <v>1</v>
      </c>
      <c r="G56" s="1">
        <f ca="1">SUMPRODUCT((Master!$A$2:$A$57=$B56)*(Master!$G$2:$G$57+공격력),(Master!$A$2:$A$57=$B56)*Master!$H$2:$H$57,(Master!$A$2:$A$57=$B56)*Master!$D$2:$D$57,(Master!$A$2:$A$57=$B56)*OFFSET(Master!$I$2:$I$57,0,D56-1),(Master!$A$2:$A$57=$B56)*OFFSET(Master!$L$2:$L$57,0,E56-1),(Master!$A$2:$A$57=$B56)*OFFSET(Master!$O$2:$O$57,0,F56-1))</f>
        <v>4742.934065934066</v>
      </c>
      <c r="H56" s="7">
        <f t="shared" si="1"/>
        <v>1.2809999999999997</v>
      </c>
      <c r="I56" s="79">
        <v>-100</v>
      </c>
      <c r="J56" s="78">
        <v>494</v>
      </c>
      <c r="K56" t="str">
        <f>VLOOKUP($B56&amp;1&amp;D56,Sheet3!$A$2:$E$221,5,0)</f>
        <v>치명타 적중률 15%증가</v>
      </c>
      <c r="L56" t="str">
        <f>VLOOKUP($B56&amp;2&amp;E56,Sheet3!$A$2:$E$221,5,0)</f>
        <v>공격범위 형태 변경</v>
      </c>
      <c r="M56" t="str">
        <f>VLOOKUP($B56&amp;3&amp;F56,Sheet3!$A$2:$E$221,5,0)</f>
        <v>장판생성 전류 피해 테스트 필요(풀히트시 기본피해의 40%로 추정)</v>
      </c>
      <c r="N56">
        <v>6.2309999999999999</v>
      </c>
      <c r="O56">
        <v>7.5119999999999996</v>
      </c>
    </row>
    <row r="57" spans="1:15">
      <c r="A57" t="str">
        <f t="shared" si="0"/>
        <v>뇌진10112</v>
      </c>
      <c r="B57" s="16" t="s">
        <v>11</v>
      </c>
      <c r="C57" s="16">
        <v>10</v>
      </c>
      <c r="D57" s="16">
        <v>1</v>
      </c>
      <c r="E57" s="16">
        <v>1</v>
      </c>
      <c r="F57" s="16">
        <v>2</v>
      </c>
      <c r="G57" s="1">
        <f ca="1">SUMPRODUCT((Master!$A$2:$A$57=$B57)*(Master!$G$2:$G$57+공격력),(Master!$A$2:$A$57=$B57)*Master!$H$2:$H$57,(Master!$A$2:$A$57=$B57)*Master!$D$2:$D$57,(Master!$A$2:$A$57=$B57)*OFFSET(Master!$I$2:$I$57,0,D57-1),(Master!$A$2:$A$57=$B57)*OFFSET(Master!$L$2:$L$57,0,E57-1),(Master!$A$2:$A$57=$B57)*OFFSET(Master!$O$2:$O$57,0,F57-1))</f>
        <v>9485.868131868132</v>
      </c>
      <c r="H57" s="7">
        <f t="shared" si="1"/>
        <v>1.5680000000000014</v>
      </c>
      <c r="I57" s="79">
        <v>-200</v>
      </c>
      <c r="J57" s="78">
        <v>479</v>
      </c>
      <c r="K57" t="str">
        <f>VLOOKUP($B57&amp;1&amp;D57,Sheet3!$A$2:$E$221,5,0)</f>
        <v>치명타 적중률 15%증가</v>
      </c>
      <c r="L57" t="str">
        <f>VLOOKUP($B57&amp;2&amp;E57,Sheet3!$A$2:$E$221,5,0)</f>
        <v>공격범위 형태 변경</v>
      </c>
      <c r="M57" t="str">
        <f>VLOOKUP($B57&amp;3&amp;F57,Sheet3!$A$2:$E$221,5,0)</f>
        <v>버블소모 1증가, 기절제거, 콤보스킬로 변경</v>
      </c>
      <c r="N57">
        <v>18.847999999999999</v>
      </c>
      <c r="O57">
        <v>20.416</v>
      </c>
    </row>
    <row r="58" spans="1:15">
      <c r="A58" t="str">
        <f t="shared" si="0"/>
        <v>뇌진10121</v>
      </c>
      <c r="B58" s="16" t="s">
        <v>11</v>
      </c>
      <c r="C58" s="16">
        <v>10</v>
      </c>
      <c r="D58" s="16">
        <v>1</v>
      </c>
      <c r="E58" s="16">
        <v>2</v>
      </c>
      <c r="F58" s="16">
        <v>1</v>
      </c>
      <c r="G58" s="1">
        <f ca="1">SUMPRODUCT((Master!$A$2:$A$57=$B58)*(Master!$G$2:$G$57+공격력),(Master!$A$2:$A$57=$B58)*Master!$H$2:$H$57,(Master!$A$2:$A$57=$B58)*Master!$D$2:$D$57,(Master!$A$2:$A$57=$B58)*OFFSET(Master!$I$2:$I$57,0,D58-1),(Master!$A$2:$A$57=$B58)*OFFSET(Master!$L$2:$L$57,0,E58-1),(Master!$A$2:$A$57=$B58)*OFFSET(Master!$O$2:$O$57,0,F58-1))</f>
        <v>8537.2813186813182</v>
      </c>
      <c r="H58" s="7">
        <f t="shared" si="1"/>
        <v>2.0170000000000003</v>
      </c>
      <c r="I58" s="79">
        <v>-100</v>
      </c>
      <c r="J58" s="78">
        <v>474</v>
      </c>
      <c r="K58" t="str">
        <f>VLOOKUP($B58&amp;1&amp;D58,Sheet3!$A$2:$E$221,5,0)</f>
        <v>치명타 적중률 15%증가</v>
      </c>
      <c r="L58" t="str">
        <f>VLOOKUP($B58&amp;2&amp;E58,Sheet3!$A$2:$E$221,5,0)</f>
        <v>발동시간, 시전시간 엄청나게 길어짐</v>
      </c>
      <c r="M58" t="str">
        <f>VLOOKUP($B58&amp;3&amp;F58,Sheet3!$A$2:$E$221,5,0)</f>
        <v>장판생성 전류 피해 테스트 필요(풀히트시 기본피해의 40%로 추정)</v>
      </c>
      <c r="N58">
        <v>0.94899999999999995</v>
      </c>
      <c r="O58">
        <v>2.9660000000000002</v>
      </c>
    </row>
    <row r="59" spans="1:15">
      <c r="A59" t="str">
        <f t="shared" si="0"/>
        <v>뇌진10122</v>
      </c>
      <c r="B59" s="16" t="s">
        <v>11</v>
      </c>
      <c r="C59" s="16">
        <v>10</v>
      </c>
      <c r="D59" s="16">
        <v>1</v>
      </c>
      <c r="E59" s="16">
        <v>2</v>
      </c>
      <c r="F59" s="16">
        <v>2</v>
      </c>
      <c r="G59" s="1">
        <f ca="1">SUMPRODUCT((Master!$A$2:$A$57=$B59)*(Master!$G$2:$G$57+공격력),(Master!$A$2:$A$57=$B59)*Master!$H$2:$H$57,(Master!$A$2:$A$57=$B59)*Master!$D$2:$D$57,(Master!$A$2:$A$57=$B59)*OFFSET(Master!$I$2:$I$57,0,D59-1),(Master!$A$2:$A$57=$B59)*OFFSET(Master!$L$2:$L$57,0,E59-1),(Master!$A$2:$A$57=$B59)*OFFSET(Master!$O$2:$O$57,0,F59-1))</f>
        <v>17074.562637362636</v>
      </c>
      <c r="H59" s="7">
        <f t="shared" si="1"/>
        <v>3.6669999999999998</v>
      </c>
      <c r="I59" s="79">
        <v>-200</v>
      </c>
      <c r="J59" s="78">
        <v>445</v>
      </c>
      <c r="K59" t="str">
        <f>VLOOKUP($B59&amp;1&amp;D59,Sheet3!$A$2:$E$221,5,0)</f>
        <v>치명타 적중률 15%증가</v>
      </c>
      <c r="L59" t="str">
        <f>VLOOKUP($B59&amp;2&amp;E59,Sheet3!$A$2:$E$221,5,0)</f>
        <v>발동시간, 시전시간 엄청나게 길어짐</v>
      </c>
      <c r="M59" t="str">
        <f>VLOOKUP($B59&amp;3&amp;F59,Sheet3!$A$2:$E$221,5,0)</f>
        <v>버블소모 1증가, 기절제거, 콤보스킬로 변경</v>
      </c>
      <c r="N59">
        <v>3.4649999999999999</v>
      </c>
      <c r="O59">
        <v>7.1319999999999997</v>
      </c>
    </row>
    <row r="60" spans="1:15">
      <c r="A60" t="str">
        <f t="shared" si="0"/>
        <v>뇌진10131</v>
      </c>
      <c r="B60" s="16" t="s">
        <v>11</v>
      </c>
      <c r="C60" s="16">
        <v>10</v>
      </c>
      <c r="D60" s="16">
        <v>1</v>
      </c>
      <c r="E60" s="16">
        <v>3</v>
      </c>
      <c r="F60" s="16">
        <v>1</v>
      </c>
      <c r="G60" s="1">
        <f ca="1">SUMPRODUCT((Master!$A$2:$A$57=$B60)*(Master!$G$2:$G$57+공격력),(Master!$A$2:$A$57=$B60)*Master!$H$2:$H$57,(Master!$A$2:$A$57=$B60)*Master!$D$2:$D$57,(Master!$A$2:$A$57=$B60)*OFFSET(Master!$I$2:$I$57,0,D60-1),(Master!$A$2:$A$57=$B60)*OFFSET(Master!$L$2:$L$57,0,E60-1),(Master!$A$2:$A$57=$B60)*OFFSET(Master!$O$2:$O$57,0,F60-1))</f>
        <v>4742.934065934066</v>
      </c>
      <c r="H60" s="7">
        <f t="shared" si="1"/>
        <v>0.51700000000000035</v>
      </c>
      <c r="I60" s="79">
        <v>-100</v>
      </c>
      <c r="J60" s="78">
        <v>494</v>
      </c>
      <c r="K60" t="str">
        <f>VLOOKUP($B60&amp;1&amp;D60,Sheet3!$A$2:$E$221,5,0)</f>
        <v>치명타 적중률 15%증가</v>
      </c>
      <c r="L60" t="str">
        <f>VLOOKUP($B60&amp;2&amp;E60,Sheet3!$A$2:$E$221,5,0)</f>
        <v>전진하며 피해</v>
      </c>
      <c r="M60" t="str">
        <f>VLOOKUP($B60&amp;3&amp;F60,Sheet3!$A$2:$E$221,5,0)</f>
        <v>장판생성 전류 피해 테스트 필요(풀히트시 기본피해의 40%로 추정)</v>
      </c>
      <c r="N60">
        <v>4.548</v>
      </c>
      <c r="O60">
        <v>5.0650000000000004</v>
      </c>
    </row>
    <row r="61" spans="1:15">
      <c r="A61" t="str">
        <f t="shared" si="0"/>
        <v>뇌진10132</v>
      </c>
      <c r="B61" s="16" t="s">
        <v>11</v>
      </c>
      <c r="C61" s="16">
        <v>10</v>
      </c>
      <c r="D61" s="16">
        <v>1</v>
      </c>
      <c r="E61" s="16">
        <v>3</v>
      </c>
      <c r="F61" s="16">
        <v>2</v>
      </c>
      <c r="G61" s="1">
        <f ca="1">SUMPRODUCT((Master!$A$2:$A$57=$B61)*(Master!$G$2:$G$57+공격력),(Master!$A$2:$A$57=$B61)*Master!$H$2:$H$57,(Master!$A$2:$A$57=$B61)*Master!$D$2:$D$57,(Master!$A$2:$A$57=$B61)*OFFSET(Master!$I$2:$I$57,0,D61-1),(Master!$A$2:$A$57=$B61)*OFFSET(Master!$L$2:$L$57,0,E61-1),(Master!$A$2:$A$57=$B61)*OFFSET(Master!$O$2:$O$57,0,F61-1))</f>
        <v>9485.868131868132</v>
      </c>
      <c r="H61" s="7">
        <f t="shared" si="1"/>
        <v>1.3190000000000002</v>
      </c>
      <c r="I61" s="79">
        <v>-200</v>
      </c>
      <c r="J61" s="78">
        <v>479</v>
      </c>
      <c r="K61" t="str">
        <f>VLOOKUP($B61&amp;1&amp;D61,Sheet3!$A$2:$E$221,5,0)</f>
        <v>치명타 적중률 15%증가</v>
      </c>
      <c r="L61" t="str">
        <f>VLOOKUP($B61&amp;2&amp;E61,Sheet3!$A$2:$E$221,5,0)</f>
        <v>전진하며 피해</v>
      </c>
      <c r="M61" t="str">
        <f>VLOOKUP($B61&amp;3&amp;F61,Sheet3!$A$2:$E$221,5,0)</f>
        <v>버블소모 1증가, 기절제거, 콤보스킬로 변경</v>
      </c>
      <c r="N61">
        <v>1.631</v>
      </c>
      <c r="O61">
        <v>2.95</v>
      </c>
    </row>
    <row r="62" spans="1:15">
      <c r="A62" t="str">
        <f t="shared" si="0"/>
        <v>뇌진10211</v>
      </c>
      <c r="B62" s="16" t="s">
        <v>11</v>
      </c>
      <c r="C62" s="16">
        <v>10</v>
      </c>
      <c r="D62" s="16">
        <v>2</v>
      </c>
      <c r="E62" s="16">
        <v>1</v>
      </c>
      <c r="F62" s="16">
        <v>1</v>
      </c>
      <c r="G62" s="1">
        <f ca="1">SUMPRODUCT((Master!$A$2:$A$57=$B62)*(Master!$G$2:$G$57+공격력),(Master!$A$2:$A$57=$B62)*Master!$H$2:$H$57,(Master!$A$2:$A$57=$B62)*Master!$D$2:$D$57,(Master!$A$2:$A$57=$B62)*OFFSET(Master!$I$2:$I$57,0,D62-1),(Master!$A$2:$A$57=$B62)*OFFSET(Master!$L$2:$L$57,0,E62-1),(Master!$A$2:$A$57=$B62)*OFFSET(Master!$O$2:$O$57,0,F62-1))</f>
        <v>4742.934065934066</v>
      </c>
      <c r="H62" s="7">
        <f t="shared" si="1"/>
        <v>1.2809999999999997</v>
      </c>
      <c r="I62" s="79">
        <v>-100</v>
      </c>
      <c r="J62" s="78">
        <v>494</v>
      </c>
      <c r="K62" t="str">
        <f>VLOOKUP($B62&amp;1&amp;D62,Sheet3!$A$2:$E$221,5,0)</f>
        <v>4초간 전격(기본데미지의 10%로 추정)</v>
      </c>
      <c r="L62" t="str">
        <f>VLOOKUP($B62&amp;2&amp;E62,Sheet3!$A$2:$E$221,5,0)</f>
        <v>공격범위 형태 변경</v>
      </c>
      <c r="M62" t="str">
        <f>VLOOKUP($B62&amp;3&amp;F62,Sheet3!$A$2:$E$221,5,0)</f>
        <v>장판생성 전류 피해 테스트 필요(풀히트시 기본피해의 40%로 추정)</v>
      </c>
      <c r="N62">
        <v>6.2309999999999999</v>
      </c>
      <c r="O62">
        <v>7.5119999999999996</v>
      </c>
    </row>
    <row r="63" spans="1:15">
      <c r="A63" t="str">
        <f t="shared" si="0"/>
        <v>뇌진10212</v>
      </c>
      <c r="B63" s="16" t="s">
        <v>11</v>
      </c>
      <c r="C63" s="16">
        <v>10</v>
      </c>
      <c r="D63" s="16">
        <v>2</v>
      </c>
      <c r="E63" s="16">
        <v>1</v>
      </c>
      <c r="F63" s="16">
        <v>2</v>
      </c>
      <c r="G63" s="1">
        <f ca="1">SUMPRODUCT((Master!$A$2:$A$57=$B63)*(Master!$G$2:$G$57+공격력),(Master!$A$2:$A$57=$B63)*Master!$H$2:$H$57,(Master!$A$2:$A$57=$B63)*Master!$D$2:$D$57,(Master!$A$2:$A$57=$B63)*OFFSET(Master!$I$2:$I$57,0,D63-1),(Master!$A$2:$A$57=$B63)*OFFSET(Master!$L$2:$L$57,0,E63-1),(Master!$A$2:$A$57=$B63)*OFFSET(Master!$O$2:$O$57,0,F63-1))</f>
        <v>9485.868131868132</v>
      </c>
      <c r="H63" s="7">
        <f t="shared" si="1"/>
        <v>1.5680000000000014</v>
      </c>
      <c r="I63" s="79">
        <v>-200</v>
      </c>
      <c r="J63" s="78">
        <v>479</v>
      </c>
      <c r="K63" t="str">
        <f>VLOOKUP($B63&amp;1&amp;D63,Sheet3!$A$2:$E$221,5,0)</f>
        <v>4초간 전격(기본데미지의 10%로 추정)</v>
      </c>
      <c r="L63" t="str">
        <f>VLOOKUP($B63&amp;2&amp;E63,Sheet3!$A$2:$E$221,5,0)</f>
        <v>공격범위 형태 변경</v>
      </c>
      <c r="M63" t="str">
        <f>VLOOKUP($B63&amp;3&amp;F63,Sheet3!$A$2:$E$221,5,0)</f>
        <v>버블소모 1증가, 기절제거, 콤보스킬로 변경</v>
      </c>
      <c r="N63">
        <v>18.847999999999999</v>
      </c>
      <c r="O63">
        <v>20.416</v>
      </c>
    </row>
    <row r="64" spans="1:15">
      <c r="A64" t="str">
        <f t="shared" si="0"/>
        <v>뇌진10221</v>
      </c>
      <c r="B64" s="16" t="s">
        <v>11</v>
      </c>
      <c r="C64" s="16">
        <v>10</v>
      </c>
      <c r="D64" s="16">
        <v>2</v>
      </c>
      <c r="E64" s="16">
        <v>2</v>
      </c>
      <c r="F64" s="16">
        <v>1</v>
      </c>
      <c r="G64" s="1">
        <f ca="1">SUMPRODUCT((Master!$A$2:$A$57=$B64)*(Master!$G$2:$G$57+공격력),(Master!$A$2:$A$57=$B64)*Master!$H$2:$H$57,(Master!$A$2:$A$57=$B64)*Master!$D$2:$D$57,(Master!$A$2:$A$57=$B64)*OFFSET(Master!$I$2:$I$57,0,D64-1),(Master!$A$2:$A$57=$B64)*OFFSET(Master!$L$2:$L$57,0,E64-1),(Master!$A$2:$A$57=$B64)*OFFSET(Master!$O$2:$O$57,0,F64-1))</f>
        <v>8537.2813186813182</v>
      </c>
      <c r="H64" s="7">
        <f t="shared" si="1"/>
        <v>2.0170000000000003</v>
      </c>
      <c r="I64" s="79">
        <v>-100</v>
      </c>
      <c r="J64" s="78">
        <v>474</v>
      </c>
      <c r="K64" t="str">
        <f>VLOOKUP($B64&amp;1&amp;D64,Sheet3!$A$2:$E$221,5,0)</f>
        <v>4초간 전격(기본데미지의 10%로 추정)</v>
      </c>
      <c r="L64" t="str">
        <f>VLOOKUP($B64&amp;2&amp;E64,Sheet3!$A$2:$E$221,5,0)</f>
        <v>발동시간, 시전시간 엄청나게 길어짐</v>
      </c>
      <c r="M64" t="str">
        <f>VLOOKUP($B64&amp;3&amp;F64,Sheet3!$A$2:$E$221,5,0)</f>
        <v>장판생성 전류 피해 테스트 필요(풀히트시 기본피해의 40%로 추정)</v>
      </c>
      <c r="N64">
        <v>0.94899999999999995</v>
      </c>
      <c r="O64">
        <v>2.9660000000000002</v>
      </c>
    </row>
    <row r="65" spans="1:15">
      <c r="A65" t="str">
        <f t="shared" si="0"/>
        <v>뇌진10222</v>
      </c>
      <c r="B65" s="16" t="s">
        <v>11</v>
      </c>
      <c r="C65" s="16">
        <v>10</v>
      </c>
      <c r="D65" s="16">
        <v>2</v>
      </c>
      <c r="E65" s="16">
        <v>2</v>
      </c>
      <c r="F65" s="16">
        <v>2</v>
      </c>
      <c r="G65" s="1">
        <f ca="1">SUMPRODUCT((Master!$A$2:$A$57=$B65)*(Master!$G$2:$G$57+공격력),(Master!$A$2:$A$57=$B65)*Master!$H$2:$H$57,(Master!$A$2:$A$57=$B65)*Master!$D$2:$D$57,(Master!$A$2:$A$57=$B65)*OFFSET(Master!$I$2:$I$57,0,D65-1),(Master!$A$2:$A$57=$B65)*OFFSET(Master!$L$2:$L$57,0,E65-1),(Master!$A$2:$A$57=$B65)*OFFSET(Master!$O$2:$O$57,0,F65-1))</f>
        <v>17074.562637362636</v>
      </c>
      <c r="H65" s="7">
        <f t="shared" si="1"/>
        <v>3.6669999999999998</v>
      </c>
      <c r="I65" s="79">
        <v>-200</v>
      </c>
      <c r="J65" s="78">
        <v>445</v>
      </c>
      <c r="K65" t="str">
        <f>VLOOKUP($B65&amp;1&amp;D65,Sheet3!$A$2:$E$221,5,0)</f>
        <v>4초간 전격(기본데미지의 10%로 추정)</v>
      </c>
      <c r="L65" t="str">
        <f>VLOOKUP($B65&amp;2&amp;E65,Sheet3!$A$2:$E$221,5,0)</f>
        <v>발동시간, 시전시간 엄청나게 길어짐</v>
      </c>
      <c r="M65" t="str">
        <f>VLOOKUP($B65&amp;3&amp;F65,Sheet3!$A$2:$E$221,5,0)</f>
        <v>버블소모 1증가, 기절제거, 콤보스킬로 변경</v>
      </c>
      <c r="N65">
        <v>3.4649999999999999</v>
      </c>
      <c r="O65">
        <v>7.1319999999999997</v>
      </c>
    </row>
    <row r="66" spans="1:15">
      <c r="A66" t="str">
        <f t="shared" ref="A66:A129" si="2">B66&amp;C66&amp;D66&amp;E66&amp;F66</f>
        <v>뇌진10231</v>
      </c>
      <c r="B66" s="16" t="s">
        <v>11</v>
      </c>
      <c r="C66" s="16">
        <v>10</v>
      </c>
      <c r="D66" s="16">
        <v>2</v>
      </c>
      <c r="E66" s="16">
        <v>3</v>
      </c>
      <c r="F66" s="16">
        <v>1</v>
      </c>
      <c r="G66" s="1">
        <f ca="1">SUMPRODUCT((Master!$A$2:$A$57=$B66)*(Master!$G$2:$G$57+공격력),(Master!$A$2:$A$57=$B66)*Master!$H$2:$H$57,(Master!$A$2:$A$57=$B66)*Master!$D$2:$D$57,(Master!$A$2:$A$57=$B66)*OFFSET(Master!$I$2:$I$57,0,D66-1),(Master!$A$2:$A$57=$B66)*OFFSET(Master!$L$2:$L$57,0,E66-1),(Master!$A$2:$A$57=$B66)*OFFSET(Master!$O$2:$O$57,0,F66-1))</f>
        <v>4742.934065934066</v>
      </c>
      <c r="H66" s="7">
        <f t="shared" ref="H66:H129" si="3">(O66-N66)</f>
        <v>0.51700000000000035</v>
      </c>
      <c r="I66" s="79">
        <v>-100</v>
      </c>
      <c r="J66" s="78">
        <v>494</v>
      </c>
      <c r="K66" t="str">
        <f>VLOOKUP($B66&amp;1&amp;D66,Sheet3!$A$2:$E$221,5,0)</f>
        <v>4초간 전격(기본데미지의 10%로 추정)</v>
      </c>
      <c r="L66" t="str">
        <f>VLOOKUP($B66&amp;2&amp;E66,Sheet3!$A$2:$E$221,5,0)</f>
        <v>전진하며 피해</v>
      </c>
      <c r="M66" t="str">
        <f>VLOOKUP($B66&amp;3&amp;F66,Sheet3!$A$2:$E$221,5,0)</f>
        <v>장판생성 전류 피해 테스트 필요(풀히트시 기본피해의 40%로 추정)</v>
      </c>
      <c r="N66">
        <v>4.548</v>
      </c>
      <c r="O66">
        <v>5.0650000000000004</v>
      </c>
    </row>
    <row r="67" spans="1:15">
      <c r="A67" t="str">
        <f t="shared" si="2"/>
        <v>뇌진10232</v>
      </c>
      <c r="B67" s="16" t="s">
        <v>11</v>
      </c>
      <c r="C67" s="16">
        <v>10</v>
      </c>
      <c r="D67" s="16">
        <v>2</v>
      </c>
      <c r="E67" s="16">
        <v>3</v>
      </c>
      <c r="F67" s="16">
        <v>2</v>
      </c>
      <c r="G67" s="1">
        <f ca="1">SUMPRODUCT((Master!$A$2:$A$57=$B67)*(Master!$G$2:$G$57+공격력),(Master!$A$2:$A$57=$B67)*Master!$H$2:$H$57,(Master!$A$2:$A$57=$B67)*Master!$D$2:$D$57,(Master!$A$2:$A$57=$B67)*OFFSET(Master!$I$2:$I$57,0,D67-1),(Master!$A$2:$A$57=$B67)*OFFSET(Master!$L$2:$L$57,0,E67-1),(Master!$A$2:$A$57=$B67)*OFFSET(Master!$O$2:$O$57,0,F67-1))</f>
        <v>9485.868131868132</v>
      </c>
      <c r="H67" s="7">
        <f t="shared" si="3"/>
        <v>1.3190000000000002</v>
      </c>
      <c r="I67" s="79">
        <v>-200</v>
      </c>
      <c r="J67" s="78">
        <v>479</v>
      </c>
      <c r="K67" t="str">
        <f>VLOOKUP($B67&amp;1&amp;D67,Sheet3!$A$2:$E$221,5,0)</f>
        <v>4초간 전격(기본데미지의 10%로 추정)</v>
      </c>
      <c r="L67" t="str">
        <f>VLOOKUP($B67&amp;2&amp;E67,Sheet3!$A$2:$E$221,5,0)</f>
        <v>전진하며 피해</v>
      </c>
      <c r="M67" t="str">
        <f>VLOOKUP($B67&amp;3&amp;F67,Sheet3!$A$2:$E$221,5,0)</f>
        <v>버블소모 1증가, 기절제거, 콤보스킬로 변경</v>
      </c>
      <c r="N67">
        <v>1.631</v>
      </c>
      <c r="O67">
        <v>2.95</v>
      </c>
    </row>
    <row r="68" spans="1:15">
      <c r="A68" t="str">
        <f t="shared" si="2"/>
        <v>뇌진10311</v>
      </c>
      <c r="B68" s="16" t="s">
        <v>11</v>
      </c>
      <c r="C68" s="16">
        <v>10</v>
      </c>
      <c r="D68" s="16">
        <v>3</v>
      </c>
      <c r="E68" s="16">
        <v>1</v>
      </c>
      <c r="F68" s="16">
        <v>1</v>
      </c>
      <c r="G68" s="1">
        <f ca="1">SUMPRODUCT((Master!$A$2:$A$57=$B68)*(Master!$G$2:$G$57+공격력),(Master!$A$2:$A$57=$B68)*Master!$H$2:$H$57,(Master!$A$2:$A$57=$B68)*Master!$D$2:$D$57,(Master!$A$2:$A$57=$B68)*OFFSET(Master!$I$2:$I$57,0,D68-1),(Master!$A$2:$A$57=$B68)*OFFSET(Master!$L$2:$L$57,0,E68-1),(Master!$A$2:$A$57=$B68)*OFFSET(Master!$O$2:$O$57,0,F68-1))</f>
        <v>4742.934065934066</v>
      </c>
      <c r="H68" s="7">
        <f t="shared" si="3"/>
        <v>1.2809999999999997</v>
      </c>
      <c r="I68" s="79">
        <v>-100</v>
      </c>
      <c r="J68" s="78">
        <v>494</v>
      </c>
      <c r="K68" t="str">
        <f>VLOOKUP($B68&amp;1&amp;D68,Sheet3!$A$2:$E$221,5,0)</f>
        <v>공격범위 30%증가</v>
      </c>
      <c r="L68" t="str">
        <f>VLOOKUP($B68&amp;2&amp;E68,Sheet3!$A$2:$E$221,5,0)</f>
        <v>공격범위 형태 변경</v>
      </c>
      <c r="M68" t="str">
        <f>VLOOKUP($B68&amp;3&amp;F68,Sheet3!$A$2:$E$221,5,0)</f>
        <v>장판생성 전류 피해 테스트 필요(풀히트시 기본피해의 40%로 추정)</v>
      </c>
      <c r="N68">
        <v>6.2309999999999999</v>
      </c>
      <c r="O68">
        <v>7.5119999999999996</v>
      </c>
    </row>
    <row r="69" spans="1:15">
      <c r="A69" t="str">
        <f t="shared" si="2"/>
        <v>뇌진10312</v>
      </c>
      <c r="B69" s="16" t="s">
        <v>11</v>
      </c>
      <c r="C69" s="16">
        <v>10</v>
      </c>
      <c r="D69" s="16">
        <v>3</v>
      </c>
      <c r="E69" s="16">
        <v>1</v>
      </c>
      <c r="F69" s="16">
        <v>2</v>
      </c>
      <c r="G69" s="1">
        <f ca="1">SUMPRODUCT((Master!$A$2:$A$57=$B69)*(Master!$G$2:$G$57+공격력),(Master!$A$2:$A$57=$B69)*Master!$H$2:$H$57,(Master!$A$2:$A$57=$B69)*Master!$D$2:$D$57,(Master!$A$2:$A$57=$B69)*OFFSET(Master!$I$2:$I$57,0,D69-1),(Master!$A$2:$A$57=$B69)*OFFSET(Master!$L$2:$L$57,0,E69-1),(Master!$A$2:$A$57=$B69)*OFFSET(Master!$O$2:$O$57,0,F69-1))</f>
        <v>9485.868131868132</v>
      </c>
      <c r="H69" s="7">
        <f t="shared" si="3"/>
        <v>1.5680000000000014</v>
      </c>
      <c r="I69" s="79">
        <v>-200</v>
      </c>
      <c r="J69" s="78">
        <v>479</v>
      </c>
      <c r="K69" t="str">
        <f>VLOOKUP($B69&amp;1&amp;D69,Sheet3!$A$2:$E$221,5,0)</f>
        <v>공격범위 30%증가</v>
      </c>
      <c r="L69" t="str">
        <f>VLOOKUP($B69&amp;2&amp;E69,Sheet3!$A$2:$E$221,5,0)</f>
        <v>공격범위 형태 변경</v>
      </c>
      <c r="M69" t="str">
        <f>VLOOKUP($B69&amp;3&amp;F69,Sheet3!$A$2:$E$221,5,0)</f>
        <v>버블소모 1증가, 기절제거, 콤보스킬로 변경</v>
      </c>
      <c r="N69">
        <v>18.847999999999999</v>
      </c>
      <c r="O69">
        <v>20.416</v>
      </c>
    </row>
    <row r="70" spans="1:15">
      <c r="A70" t="str">
        <f t="shared" si="2"/>
        <v>뇌진10321</v>
      </c>
      <c r="B70" s="16" t="s">
        <v>11</v>
      </c>
      <c r="C70" s="16">
        <v>10</v>
      </c>
      <c r="D70" s="16">
        <v>3</v>
      </c>
      <c r="E70" s="16">
        <v>2</v>
      </c>
      <c r="F70" s="16">
        <v>1</v>
      </c>
      <c r="G70" s="1">
        <f ca="1">SUMPRODUCT((Master!$A$2:$A$57=$B70)*(Master!$G$2:$G$57+공격력),(Master!$A$2:$A$57=$B70)*Master!$H$2:$H$57,(Master!$A$2:$A$57=$B70)*Master!$D$2:$D$57,(Master!$A$2:$A$57=$B70)*OFFSET(Master!$I$2:$I$57,0,D70-1),(Master!$A$2:$A$57=$B70)*OFFSET(Master!$L$2:$L$57,0,E70-1),(Master!$A$2:$A$57=$B70)*OFFSET(Master!$O$2:$O$57,0,F70-1))</f>
        <v>8537.2813186813182</v>
      </c>
      <c r="H70" s="7">
        <f t="shared" si="3"/>
        <v>2.0170000000000003</v>
      </c>
      <c r="I70" s="79">
        <v>-100</v>
      </c>
      <c r="J70" s="78">
        <v>474</v>
      </c>
      <c r="K70" t="str">
        <f>VLOOKUP($B70&amp;1&amp;D70,Sheet3!$A$2:$E$221,5,0)</f>
        <v>공격범위 30%증가</v>
      </c>
      <c r="L70" t="str">
        <f>VLOOKUP($B70&amp;2&amp;E70,Sheet3!$A$2:$E$221,5,0)</f>
        <v>발동시간, 시전시간 엄청나게 길어짐</v>
      </c>
      <c r="M70" t="str">
        <f>VLOOKUP($B70&amp;3&amp;F70,Sheet3!$A$2:$E$221,5,0)</f>
        <v>장판생성 전류 피해 테스트 필요(풀히트시 기본피해의 40%로 추정)</v>
      </c>
      <c r="N70">
        <v>0.94899999999999995</v>
      </c>
      <c r="O70">
        <v>2.9660000000000002</v>
      </c>
    </row>
    <row r="71" spans="1:15">
      <c r="A71" t="str">
        <f t="shared" si="2"/>
        <v>뇌진10322</v>
      </c>
      <c r="B71" s="16" t="s">
        <v>11</v>
      </c>
      <c r="C71" s="16">
        <v>10</v>
      </c>
      <c r="D71" s="16">
        <v>3</v>
      </c>
      <c r="E71" s="16">
        <v>2</v>
      </c>
      <c r="F71" s="16">
        <v>2</v>
      </c>
      <c r="G71" s="1">
        <f ca="1">SUMPRODUCT((Master!$A$2:$A$57=$B71)*(Master!$G$2:$G$57+공격력),(Master!$A$2:$A$57=$B71)*Master!$H$2:$H$57,(Master!$A$2:$A$57=$B71)*Master!$D$2:$D$57,(Master!$A$2:$A$57=$B71)*OFFSET(Master!$I$2:$I$57,0,D71-1),(Master!$A$2:$A$57=$B71)*OFFSET(Master!$L$2:$L$57,0,E71-1),(Master!$A$2:$A$57=$B71)*OFFSET(Master!$O$2:$O$57,0,F71-1))</f>
        <v>17074.562637362636</v>
      </c>
      <c r="H71" s="7">
        <f t="shared" si="3"/>
        <v>3.6669999999999998</v>
      </c>
      <c r="I71" s="79">
        <v>-200</v>
      </c>
      <c r="J71" s="78">
        <v>445</v>
      </c>
      <c r="K71" t="str">
        <f>VLOOKUP($B71&amp;1&amp;D71,Sheet3!$A$2:$E$221,5,0)</f>
        <v>공격범위 30%증가</v>
      </c>
      <c r="L71" t="str">
        <f>VLOOKUP($B71&amp;2&amp;E71,Sheet3!$A$2:$E$221,5,0)</f>
        <v>발동시간, 시전시간 엄청나게 길어짐</v>
      </c>
      <c r="M71" t="str">
        <f>VLOOKUP($B71&amp;3&amp;F71,Sheet3!$A$2:$E$221,5,0)</f>
        <v>버블소모 1증가, 기절제거, 콤보스킬로 변경</v>
      </c>
      <c r="N71">
        <v>3.4649999999999999</v>
      </c>
      <c r="O71">
        <v>7.1319999999999997</v>
      </c>
    </row>
    <row r="72" spans="1:15">
      <c r="A72" t="str">
        <f t="shared" si="2"/>
        <v>뇌진10331</v>
      </c>
      <c r="B72" s="16" t="s">
        <v>11</v>
      </c>
      <c r="C72" s="16">
        <v>10</v>
      </c>
      <c r="D72" s="16">
        <v>3</v>
      </c>
      <c r="E72" s="16">
        <v>3</v>
      </c>
      <c r="F72" s="16">
        <v>1</v>
      </c>
      <c r="G72" s="1">
        <f ca="1">SUMPRODUCT((Master!$A$2:$A$57=$B72)*(Master!$G$2:$G$57+공격력),(Master!$A$2:$A$57=$B72)*Master!$H$2:$H$57,(Master!$A$2:$A$57=$B72)*Master!$D$2:$D$57,(Master!$A$2:$A$57=$B72)*OFFSET(Master!$I$2:$I$57,0,D72-1),(Master!$A$2:$A$57=$B72)*OFFSET(Master!$L$2:$L$57,0,E72-1),(Master!$A$2:$A$57=$B72)*OFFSET(Master!$O$2:$O$57,0,F72-1))</f>
        <v>4742.934065934066</v>
      </c>
      <c r="H72" s="7">
        <f t="shared" si="3"/>
        <v>0.51700000000000035</v>
      </c>
      <c r="I72" s="79">
        <v>-100</v>
      </c>
      <c r="J72" s="78">
        <v>494</v>
      </c>
      <c r="K72" t="str">
        <f>VLOOKUP($B72&amp;1&amp;D72,Sheet3!$A$2:$E$221,5,0)</f>
        <v>공격범위 30%증가</v>
      </c>
      <c r="L72" t="str">
        <f>VLOOKUP($B72&amp;2&amp;E72,Sheet3!$A$2:$E$221,5,0)</f>
        <v>전진하며 피해</v>
      </c>
      <c r="M72" t="str">
        <f>VLOOKUP($B72&amp;3&amp;F72,Sheet3!$A$2:$E$221,5,0)</f>
        <v>장판생성 전류 피해 테스트 필요(풀히트시 기본피해의 40%로 추정)</v>
      </c>
      <c r="N72">
        <v>4.548</v>
      </c>
      <c r="O72">
        <v>5.0650000000000004</v>
      </c>
    </row>
    <row r="73" spans="1:15">
      <c r="A73" t="str">
        <f t="shared" si="2"/>
        <v>뇌진10332</v>
      </c>
      <c r="B73" s="16" t="s">
        <v>11</v>
      </c>
      <c r="C73" s="16">
        <v>10</v>
      </c>
      <c r="D73" s="16">
        <v>3</v>
      </c>
      <c r="E73" s="16">
        <v>3</v>
      </c>
      <c r="F73" s="16">
        <v>2</v>
      </c>
      <c r="G73" s="1">
        <f ca="1">SUMPRODUCT((Master!$A$2:$A$57=$B73)*(Master!$G$2:$G$57+공격력),(Master!$A$2:$A$57=$B73)*Master!$H$2:$H$57,(Master!$A$2:$A$57=$B73)*Master!$D$2:$D$57,(Master!$A$2:$A$57=$B73)*OFFSET(Master!$I$2:$I$57,0,D73-1),(Master!$A$2:$A$57=$B73)*OFFSET(Master!$L$2:$L$57,0,E73-1),(Master!$A$2:$A$57=$B73)*OFFSET(Master!$O$2:$O$57,0,F73-1))</f>
        <v>9485.868131868132</v>
      </c>
      <c r="H73" s="7">
        <f t="shared" si="3"/>
        <v>1.3190000000000002</v>
      </c>
      <c r="I73" s="79">
        <v>-200</v>
      </c>
      <c r="J73" s="78">
        <v>479</v>
      </c>
      <c r="K73" t="str">
        <f>VLOOKUP($B73&amp;1&amp;D73,Sheet3!$A$2:$E$221,5,0)</f>
        <v>공격범위 30%증가</v>
      </c>
      <c r="L73" t="str">
        <f>VLOOKUP($B73&amp;2&amp;E73,Sheet3!$A$2:$E$221,5,0)</f>
        <v>전진하며 피해</v>
      </c>
      <c r="M73" t="str">
        <f>VLOOKUP($B73&amp;3&amp;F73,Sheet3!$A$2:$E$221,5,0)</f>
        <v>버블소모 1증가, 기절제거, 콤보스킬로 변경</v>
      </c>
      <c r="N73">
        <v>1.631</v>
      </c>
      <c r="O73">
        <v>2.95</v>
      </c>
    </row>
    <row r="74" spans="1:15">
      <c r="A74" t="str">
        <f t="shared" si="2"/>
        <v>바속10111</v>
      </c>
      <c r="B74" s="16" t="s">
        <v>5</v>
      </c>
      <c r="C74" s="16">
        <v>10</v>
      </c>
      <c r="D74" s="16">
        <v>1</v>
      </c>
      <c r="E74" s="16">
        <v>1</v>
      </c>
      <c r="F74" s="16">
        <v>1</v>
      </c>
      <c r="G74" s="1">
        <f ca="1">SUMPRODUCT((Master!$A$2:$A$57=$B74)*(Master!$G$2:$G$57+공격력),(Master!$A$2:$A$57=$B74)*Master!$H$2:$H$57,(Master!$A$2:$A$57=$B74)*Master!$D$2:$D$57,(Master!$A$2:$A$57=$B74)*OFFSET(Master!$I$2:$I$57,0,D74-1),(Master!$A$2:$A$57=$B74)*OFFSET(Master!$L$2:$L$57,0,E74-1),(Master!$A$2:$A$57=$B74)*OFFSET(Master!$O$2:$O$57,0,F74-1))</f>
        <v>0</v>
      </c>
      <c r="H74" s="7">
        <f t="shared" si="3"/>
        <v>0.61699999999999999</v>
      </c>
      <c r="I74" s="79">
        <v>0</v>
      </c>
      <c r="J74" s="78">
        <v>532</v>
      </c>
      <c r="K74" t="str">
        <f>VLOOKUP($B74&amp;1&amp;D74,Sheet3!$A$2:$E$221,5,0)</f>
        <v>이속증가 10% 6초</v>
      </c>
      <c r="L74" t="str">
        <f>VLOOKUP($B74&amp;2&amp;E74,Sheet3!$A$2:$E$221,5,0)</f>
        <v>파티원 받는피해 30%감소 6초</v>
      </c>
      <c r="M74" t="str">
        <f>VLOOKUP($B74&amp;3&amp;F74,Sheet3!$A$2:$E$221,5,0)</f>
        <v>쿨 10초 감소</v>
      </c>
      <c r="N74">
        <v>3.032</v>
      </c>
      <c r="O74">
        <v>3.649</v>
      </c>
    </row>
    <row r="75" spans="1:15">
      <c r="A75" t="str">
        <f t="shared" si="2"/>
        <v>바속10112</v>
      </c>
      <c r="B75" s="16" t="s">
        <v>5</v>
      </c>
      <c r="C75" s="16">
        <v>10</v>
      </c>
      <c r="D75" s="16">
        <v>1</v>
      </c>
      <c r="E75" s="16">
        <v>1</v>
      </c>
      <c r="F75" s="16">
        <v>2</v>
      </c>
      <c r="G75" s="1">
        <f ca="1">SUMPRODUCT((Master!$A$2:$A$57=$B75)*(Master!$G$2:$G$57+공격력),(Master!$A$2:$A$57=$B75)*Master!$H$2:$H$57,(Master!$A$2:$A$57=$B75)*Master!$D$2:$D$57,(Master!$A$2:$A$57=$B75)*OFFSET(Master!$I$2:$I$57,0,D75-1),(Master!$A$2:$A$57=$B75)*OFFSET(Master!$L$2:$L$57,0,E75-1),(Master!$A$2:$A$57=$B75)*OFFSET(Master!$O$2:$O$57,0,F75-1))</f>
        <v>14758.365122615804</v>
      </c>
      <c r="H75" s="7">
        <f t="shared" si="3"/>
        <v>0.61699999999999999</v>
      </c>
      <c r="I75" s="79">
        <v>58</v>
      </c>
      <c r="J75" s="78">
        <v>513</v>
      </c>
      <c r="K75" t="str">
        <f>VLOOKUP($B75&amp;1&amp;D75,Sheet3!$A$2:$E$221,5,0)</f>
        <v>이속증가 10% 6초</v>
      </c>
      <c r="L75" t="str">
        <f>VLOOKUP($B75&amp;2&amp;E75,Sheet3!$A$2:$E$221,5,0)</f>
        <v>파티원 받는피해 30%감소 6초</v>
      </c>
      <c r="M75" t="str">
        <f>VLOOKUP($B75&amp;3&amp;F75,Sheet3!$A$2:$E$221,5,0)</f>
        <v>-</v>
      </c>
      <c r="N75">
        <v>3.032</v>
      </c>
      <c r="O75">
        <v>3.649</v>
      </c>
    </row>
    <row r="76" spans="1:15">
      <c r="A76" t="str">
        <f t="shared" si="2"/>
        <v>바속10121</v>
      </c>
      <c r="B76" s="16" t="s">
        <v>5</v>
      </c>
      <c r="C76" s="16">
        <v>10</v>
      </c>
      <c r="D76" s="16">
        <v>1</v>
      </c>
      <c r="E76" s="16">
        <v>2</v>
      </c>
      <c r="F76" s="16">
        <v>1</v>
      </c>
      <c r="G76" s="1">
        <f ca="1">SUMPRODUCT((Master!$A$2:$A$57=$B76)*(Master!$G$2:$G$57+공격력),(Master!$A$2:$A$57=$B76)*Master!$H$2:$H$57,(Master!$A$2:$A$57=$B76)*Master!$D$2:$D$57,(Master!$A$2:$A$57=$B76)*OFFSET(Master!$I$2:$I$57,0,D76-1),(Master!$A$2:$A$57=$B76)*OFFSET(Master!$L$2:$L$57,0,E76-1),(Master!$A$2:$A$57=$B76)*OFFSET(Master!$O$2:$O$57,0,F76-1))</f>
        <v>0</v>
      </c>
      <c r="H76" s="7">
        <f t="shared" si="3"/>
        <v>0.61699999999999999</v>
      </c>
      <c r="I76" s="79">
        <v>0</v>
      </c>
      <c r="J76" s="78">
        <v>532</v>
      </c>
      <c r="K76" t="str">
        <f>VLOOKUP($B76&amp;1&amp;D76,Sheet3!$A$2:$E$221,5,0)</f>
        <v>이속증가 10% 6초</v>
      </c>
      <c r="L76" t="str">
        <f>VLOOKUP($B76&amp;2&amp;E76,Sheet3!$A$2:$E$221,5,0)</f>
        <v>파티원 치명타 적중률 25%증가 6초</v>
      </c>
      <c r="M76" t="str">
        <f>VLOOKUP($B76&amp;3&amp;F76,Sheet3!$A$2:$E$221,5,0)</f>
        <v>쿨 10초 감소</v>
      </c>
      <c r="N76">
        <v>3.032</v>
      </c>
      <c r="O76">
        <v>3.649</v>
      </c>
    </row>
    <row r="77" spans="1:15">
      <c r="A77" t="str">
        <f t="shared" si="2"/>
        <v>바속10122</v>
      </c>
      <c r="B77" s="16" t="s">
        <v>5</v>
      </c>
      <c r="C77" s="16">
        <v>10</v>
      </c>
      <c r="D77" s="16">
        <v>1</v>
      </c>
      <c r="E77" s="16">
        <v>2</v>
      </c>
      <c r="F77" s="16">
        <v>2</v>
      </c>
      <c r="G77" s="1">
        <f ca="1">SUMPRODUCT((Master!$A$2:$A$57=$B77)*(Master!$G$2:$G$57+공격력),(Master!$A$2:$A$57=$B77)*Master!$H$2:$H$57,(Master!$A$2:$A$57=$B77)*Master!$D$2:$D$57,(Master!$A$2:$A$57=$B77)*OFFSET(Master!$I$2:$I$57,0,D77-1),(Master!$A$2:$A$57=$B77)*OFFSET(Master!$L$2:$L$57,0,E77-1),(Master!$A$2:$A$57=$B77)*OFFSET(Master!$O$2:$O$57,0,F77-1))</f>
        <v>14758.365122615804</v>
      </c>
      <c r="H77" s="7">
        <f t="shared" si="3"/>
        <v>0.61699999999999999</v>
      </c>
      <c r="I77" s="79">
        <v>58</v>
      </c>
      <c r="J77" s="78">
        <v>513</v>
      </c>
      <c r="K77" t="str">
        <f>VLOOKUP($B77&amp;1&amp;D77,Sheet3!$A$2:$E$221,5,0)</f>
        <v>이속증가 10% 6초</v>
      </c>
      <c r="L77" t="str">
        <f>VLOOKUP($B77&amp;2&amp;E77,Sheet3!$A$2:$E$221,5,0)</f>
        <v>파티원 치명타 적중률 25%증가 6초</v>
      </c>
      <c r="M77" t="str">
        <f>VLOOKUP($B77&amp;3&amp;F77,Sheet3!$A$2:$E$221,5,0)</f>
        <v>-</v>
      </c>
      <c r="N77">
        <v>3.032</v>
      </c>
      <c r="O77">
        <v>3.649</v>
      </c>
    </row>
    <row r="78" spans="1:15">
      <c r="A78" t="str">
        <f t="shared" si="2"/>
        <v>바속10131</v>
      </c>
      <c r="B78" s="16" t="s">
        <v>5</v>
      </c>
      <c r="C78" s="16">
        <v>10</v>
      </c>
      <c r="D78" s="16">
        <v>1</v>
      </c>
      <c r="E78" s="16">
        <v>3</v>
      </c>
      <c r="F78" s="16">
        <v>1</v>
      </c>
      <c r="G78" s="1">
        <f ca="1">SUMPRODUCT((Master!$A$2:$A$57=$B78)*(Master!$G$2:$G$57+공격력),(Master!$A$2:$A$57=$B78)*Master!$H$2:$H$57,(Master!$A$2:$A$57=$B78)*Master!$D$2:$D$57,(Master!$A$2:$A$57=$B78)*OFFSET(Master!$I$2:$I$57,0,D78-1),(Master!$A$2:$A$57=$B78)*OFFSET(Master!$L$2:$L$57,0,E78-1),(Master!$A$2:$A$57=$B78)*OFFSET(Master!$O$2:$O$57,0,F78-1))</f>
        <v>0</v>
      </c>
      <c r="H78" s="7">
        <f t="shared" si="3"/>
        <v>0.61699999999999999</v>
      </c>
      <c r="I78" s="79">
        <v>0</v>
      </c>
      <c r="J78" s="78">
        <v>532</v>
      </c>
      <c r="K78" t="str">
        <f>VLOOKUP($B78&amp;1&amp;D78,Sheet3!$A$2:$E$221,5,0)</f>
        <v>이속증가 10% 6초</v>
      </c>
      <c r="L78" t="str">
        <f>VLOOKUP($B78&amp;2&amp;E78,Sheet3!$A$2:$E$221,5,0)</f>
        <v>지속시간 2배 증가</v>
      </c>
      <c r="M78" t="str">
        <f>VLOOKUP($B78&amp;3&amp;F78,Sheet3!$A$2:$E$221,5,0)</f>
        <v>쿨 10초 감소</v>
      </c>
      <c r="N78">
        <v>3.032</v>
      </c>
      <c r="O78">
        <v>3.649</v>
      </c>
    </row>
    <row r="79" spans="1:15">
      <c r="A79" t="str">
        <f t="shared" si="2"/>
        <v>바속10132</v>
      </c>
      <c r="B79" s="16" t="s">
        <v>5</v>
      </c>
      <c r="C79" s="16">
        <v>10</v>
      </c>
      <c r="D79" s="16">
        <v>1</v>
      </c>
      <c r="E79" s="16">
        <v>3</v>
      </c>
      <c r="F79" s="16">
        <v>2</v>
      </c>
      <c r="G79" s="1">
        <f ca="1">SUMPRODUCT((Master!$A$2:$A$57=$B79)*(Master!$G$2:$G$57+공격력),(Master!$A$2:$A$57=$B79)*Master!$H$2:$H$57,(Master!$A$2:$A$57=$B79)*Master!$D$2:$D$57,(Master!$A$2:$A$57=$B79)*OFFSET(Master!$I$2:$I$57,0,D79-1),(Master!$A$2:$A$57=$B79)*OFFSET(Master!$L$2:$L$57,0,E79-1),(Master!$A$2:$A$57=$B79)*OFFSET(Master!$O$2:$O$57,0,F79-1))</f>
        <v>14758.365122615804</v>
      </c>
      <c r="H79" s="7">
        <f t="shared" si="3"/>
        <v>0.61699999999999999</v>
      </c>
      <c r="I79" s="79">
        <v>58</v>
      </c>
      <c r="J79" s="78">
        <v>513</v>
      </c>
      <c r="K79" t="str">
        <f>VLOOKUP($B79&amp;1&amp;D79,Sheet3!$A$2:$E$221,5,0)</f>
        <v>이속증가 10% 6초</v>
      </c>
      <c r="L79" t="str">
        <f>VLOOKUP($B79&amp;2&amp;E79,Sheet3!$A$2:$E$221,5,0)</f>
        <v>지속시간 2배 증가</v>
      </c>
      <c r="M79" t="str">
        <f>VLOOKUP($B79&amp;3&amp;F79,Sheet3!$A$2:$E$221,5,0)</f>
        <v>-</v>
      </c>
      <c r="N79">
        <v>3.032</v>
      </c>
      <c r="O79">
        <v>3.649</v>
      </c>
    </row>
    <row r="80" spans="1:15">
      <c r="A80" t="str">
        <f t="shared" si="2"/>
        <v>바속10211</v>
      </c>
      <c r="B80" s="16" t="s">
        <v>5</v>
      </c>
      <c r="C80" s="16">
        <v>10</v>
      </c>
      <c r="D80" s="16">
        <v>2</v>
      </c>
      <c r="E80" s="16">
        <v>1</v>
      </c>
      <c r="F80" s="16">
        <v>1</v>
      </c>
      <c r="G80" s="1">
        <f ca="1">SUMPRODUCT((Master!$A$2:$A$57=$B80)*(Master!$G$2:$G$57+공격력),(Master!$A$2:$A$57=$B80)*Master!$H$2:$H$57,(Master!$A$2:$A$57=$B80)*Master!$D$2:$D$57,(Master!$A$2:$A$57=$B80)*OFFSET(Master!$I$2:$I$57,0,D80-1),(Master!$A$2:$A$57=$B80)*OFFSET(Master!$L$2:$L$57,0,E80-1),(Master!$A$2:$A$57=$B80)*OFFSET(Master!$O$2:$O$57,0,F80-1))</f>
        <v>0</v>
      </c>
      <c r="H80" s="7">
        <f t="shared" si="3"/>
        <v>0.61699999999999999</v>
      </c>
      <c r="I80" s="79">
        <v>0</v>
      </c>
      <c r="J80" s="78">
        <v>532</v>
      </c>
      <c r="K80" t="str">
        <f>VLOOKUP($B80&amp;1&amp;D80,Sheet3!$A$2:$E$221,5,0)</f>
        <v>회피증가 15% 6초</v>
      </c>
      <c r="L80" t="str">
        <f>VLOOKUP($B80&amp;2&amp;E80,Sheet3!$A$2:$E$221,5,0)</f>
        <v>파티원 받는피해 30%감소 6초</v>
      </c>
      <c r="M80" t="str">
        <f>VLOOKUP($B80&amp;3&amp;F80,Sheet3!$A$2:$E$221,5,0)</f>
        <v>쿨 10초 감소</v>
      </c>
      <c r="N80">
        <v>3.032</v>
      </c>
      <c r="O80">
        <v>3.649</v>
      </c>
    </row>
    <row r="81" spans="1:15">
      <c r="A81" t="str">
        <f t="shared" si="2"/>
        <v>바속10212</v>
      </c>
      <c r="B81" s="16" t="s">
        <v>5</v>
      </c>
      <c r="C81" s="16">
        <v>10</v>
      </c>
      <c r="D81" s="16">
        <v>2</v>
      </c>
      <c r="E81" s="16">
        <v>1</v>
      </c>
      <c r="F81" s="16">
        <v>2</v>
      </c>
      <c r="G81" s="1">
        <f ca="1">SUMPRODUCT((Master!$A$2:$A$57=$B81)*(Master!$G$2:$G$57+공격력),(Master!$A$2:$A$57=$B81)*Master!$H$2:$H$57,(Master!$A$2:$A$57=$B81)*Master!$D$2:$D$57,(Master!$A$2:$A$57=$B81)*OFFSET(Master!$I$2:$I$57,0,D81-1),(Master!$A$2:$A$57=$B81)*OFFSET(Master!$L$2:$L$57,0,E81-1),(Master!$A$2:$A$57=$B81)*OFFSET(Master!$O$2:$O$57,0,F81-1))</f>
        <v>14758.365122615804</v>
      </c>
      <c r="H81" s="7">
        <f t="shared" si="3"/>
        <v>0.61699999999999999</v>
      </c>
      <c r="I81" s="79">
        <v>58</v>
      </c>
      <c r="J81" s="78">
        <v>513</v>
      </c>
      <c r="K81" t="str">
        <f>VLOOKUP($B81&amp;1&amp;D81,Sheet3!$A$2:$E$221,5,0)</f>
        <v>회피증가 15% 6초</v>
      </c>
      <c r="L81" t="str">
        <f>VLOOKUP($B81&amp;2&amp;E81,Sheet3!$A$2:$E$221,5,0)</f>
        <v>파티원 받는피해 30%감소 6초</v>
      </c>
      <c r="M81" t="str">
        <f>VLOOKUP($B81&amp;3&amp;F81,Sheet3!$A$2:$E$221,5,0)</f>
        <v>-</v>
      </c>
      <c r="N81">
        <v>3.032</v>
      </c>
      <c r="O81">
        <v>3.649</v>
      </c>
    </row>
    <row r="82" spans="1:15">
      <c r="A82" t="str">
        <f t="shared" si="2"/>
        <v>바속10221</v>
      </c>
      <c r="B82" s="16" t="s">
        <v>5</v>
      </c>
      <c r="C82" s="16">
        <v>10</v>
      </c>
      <c r="D82" s="16">
        <v>2</v>
      </c>
      <c r="E82" s="16">
        <v>2</v>
      </c>
      <c r="F82" s="16">
        <v>1</v>
      </c>
      <c r="G82" s="1">
        <f ca="1">SUMPRODUCT((Master!$A$2:$A$57=$B82)*(Master!$G$2:$G$57+공격력),(Master!$A$2:$A$57=$B82)*Master!$H$2:$H$57,(Master!$A$2:$A$57=$B82)*Master!$D$2:$D$57,(Master!$A$2:$A$57=$B82)*OFFSET(Master!$I$2:$I$57,0,D82-1),(Master!$A$2:$A$57=$B82)*OFFSET(Master!$L$2:$L$57,0,E82-1),(Master!$A$2:$A$57=$B82)*OFFSET(Master!$O$2:$O$57,0,F82-1))</f>
        <v>0</v>
      </c>
      <c r="H82" s="7">
        <f t="shared" si="3"/>
        <v>0.61699999999999999</v>
      </c>
      <c r="I82" s="79">
        <v>0</v>
      </c>
      <c r="J82" s="78">
        <v>532</v>
      </c>
      <c r="K82" t="str">
        <f>VLOOKUP($B82&amp;1&amp;D82,Sheet3!$A$2:$E$221,5,0)</f>
        <v>회피증가 15% 6초</v>
      </c>
      <c r="L82" t="str">
        <f>VLOOKUP($B82&amp;2&amp;E82,Sheet3!$A$2:$E$221,5,0)</f>
        <v>파티원 치명타 적중률 25%증가 6초</v>
      </c>
      <c r="M82" t="str">
        <f>VLOOKUP($B82&amp;3&amp;F82,Sheet3!$A$2:$E$221,5,0)</f>
        <v>쿨 10초 감소</v>
      </c>
      <c r="N82">
        <v>3.032</v>
      </c>
      <c r="O82">
        <v>3.649</v>
      </c>
    </row>
    <row r="83" spans="1:15">
      <c r="A83" t="str">
        <f t="shared" si="2"/>
        <v>바속10222</v>
      </c>
      <c r="B83" s="16" t="s">
        <v>5</v>
      </c>
      <c r="C83" s="16">
        <v>10</v>
      </c>
      <c r="D83" s="16">
        <v>2</v>
      </c>
      <c r="E83" s="16">
        <v>2</v>
      </c>
      <c r="F83" s="16">
        <v>2</v>
      </c>
      <c r="G83" s="1">
        <f ca="1">SUMPRODUCT((Master!$A$2:$A$57=$B83)*(Master!$G$2:$G$57+공격력),(Master!$A$2:$A$57=$B83)*Master!$H$2:$H$57,(Master!$A$2:$A$57=$B83)*Master!$D$2:$D$57,(Master!$A$2:$A$57=$B83)*OFFSET(Master!$I$2:$I$57,0,D83-1),(Master!$A$2:$A$57=$B83)*OFFSET(Master!$L$2:$L$57,0,E83-1),(Master!$A$2:$A$57=$B83)*OFFSET(Master!$O$2:$O$57,0,F83-1))</f>
        <v>14758.365122615804</v>
      </c>
      <c r="H83" s="7">
        <f t="shared" si="3"/>
        <v>0.61699999999999999</v>
      </c>
      <c r="I83" s="79">
        <v>58</v>
      </c>
      <c r="J83" s="78">
        <v>513</v>
      </c>
      <c r="K83" t="str">
        <f>VLOOKUP($B83&amp;1&amp;D83,Sheet3!$A$2:$E$221,5,0)</f>
        <v>회피증가 15% 6초</v>
      </c>
      <c r="L83" t="str">
        <f>VLOOKUP($B83&amp;2&amp;E83,Sheet3!$A$2:$E$221,5,0)</f>
        <v>파티원 치명타 적중률 25%증가 6초</v>
      </c>
      <c r="M83" t="str">
        <f>VLOOKUP($B83&amp;3&amp;F83,Sheet3!$A$2:$E$221,5,0)</f>
        <v>-</v>
      </c>
      <c r="N83">
        <v>3.032</v>
      </c>
      <c r="O83">
        <v>3.649</v>
      </c>
    </row>
    <row r="84" spans="1:15">
      <c r="A84" t="str">
        <f t="shared" si="2"/>
        <v>바속10231</v>
      </c>
      <c r="B84" s="16" t="s">
        <v>5</v>
      </c>
      <c r="C84" s="16">
        <v>10</v>
      </c>
      <c r="D84" s="16">
        <v>2</v>
      </c>
      <c r="E84" s="16">
        <v>3</v>
      </c>
      <c r="F84" s="16">
        <v>1</v>
      </c>
      <c r="G84" s="1">
        <f ca="1">SUMPRODUCT((Master!$A$2:$A$57=$B84)*(Master!$G$2:$G$57+공격력),(Master!$A$2:$A$57=$B84)*Master!$H$2:$H$57,(Master!$A$2:$A$57=$B84)*Master!$D$2:$D$57,(Master!$A$2:$A$57=$B84)*OFFSET(Master!$I$2:$I$57,0,D84-1),(Master!$A$2:$A$57=$B84)*OFFSET(Master!$L$2:$L$57,0,E84-1),(Master!$A$2:$A$57=$B84)*OFFSET(Master!$O$2:$O$57,0,F84-1))</f>
        <v>0</v>
      </c>
      <c r="H84" s="7">
        <f t="shared" si="3"/>
        <v>0.61699999999999999</v>
      </c>
      <c r="I84" s="79">
        <v>0</v>
      </c>
      <c r="J84" s="78">
        <v>532</v>
      </c>
      <c r="K84" t="str">
        <f>VLOOKUP($B84&amp;1&amp;D84,Sheet3!$A$2:$E$221,5,0)</f>
        <v>회피증가 15% 6초</v>
      </c>
      <c r="L84" t="str">
        <f>VLOOKUP($B84&amp;2&amp;E84,Sheet3!$A$2:$E$221,5,0)</f>
        <v>지속시간 2배 증가</v>
      </c>
      <c r="M84" t="str">
        <f>VLOOKUP($B84&amp;3&amp;F84,Sheet3!$A$2:$E$221,5,0)</f>
        <v>쿨 10초 감소</v>
      </c>
      <c r="N84">
        <v>3.032</v>
      </c>
      <c r="O84">
        <v>3.649</v>
      </c>
    </row>
    <row r="85" spans="1:15">
      <c r="A85" t="str">
        <f t="shared" si="2"/>
        <v>바속10232</v>
      </c>
      <c r="B85" s="16" t="s">
        <v>5</v>
      </c>
      <c r="C85" s="16">
        <v>10</v>
      </c>
      <c r="D85" s="16">
        <v>2</v>
      </c>
      <c r="E85" s="16">
        <v>3</v>
      </c>
      <c r="F85" s="16">
        <v>2</v>
      </c>
      <c r="G85" s="1">
        <f ca="1">SUMPRODUCT((Master!$A$2:$A$57=$B85)*(Master!$G$2:$G$57+공격력),(Master!$A$2:$A$57=$B85)*Master!$H$2:$H$57,(Master!$A$2:$A$57=$B85)*Master!$D$2:$D$57,(Master!$A$2:$A$57=$B85)*OFFSET(Master!$I$2:$I$57,0,D85-1),(Master!$A$2:$A$57=$B85)*OFFSET(Master!$L$2:$L$57,0,E85-1),(Master!$A$2:$A$57=$B85)*OFFSET(Master!$O$2:$O$57,0,F85-1))</f>
        <v>14758.365122615804</v>
      </c>
      <c r="H85" s="7">
        <f t="shared" si="3"/>
        <v>0.61699999999999999</v>
      </c>
      <c r="I85" s="79">
        <v>58</v>
      </c>
      <c r="J85" s="78">
        <v>513</v>
      </c>
      <c r="K85" t="str">
        <f>VLOOKUP($B85&amp;1&amp;D85,Sheet3!$A$2:$E$221,5,0)</f>
        <v>회피증가 15% 6초</v>
      </c>
      <c r="L85" t="str">
        <f>VLOOKUP($B85&amp;2&amp;E85,Sheet3!$A$2:$E$221,5,0)</f>
        <v>지속시간 2배 증가</v>
      </c>
      <c r="M85" t="str">
        <f>VLOOKUP($B85&amp;3&amp;F85,Sheet3!$A$2:$E$221,5,0)</f>
        <v>-</v>
      </c>
      <c r="N85">
        <v>3.032</v>
      </c>
      <c r="O85">
        <v>3.649</v>
      </c>
    </row>
    <row r="86" spans="1:15">
      <c r="A86" t="str">
        <f t="shared" si="2"/>
        <v>바속10311</v>
      </c>
      <c r="B86" s="16" t="s">
        <v>5</v>
      </c>
      <c r="C86" s="16">
        <v>10</v>
      </c>
      <c r="D86" s="16">
        <v>3</v>
      </c>
      <c r="E86" s="16">
        <v>1</v>
      </c>
      <c r="F86" s="16">
        <v>1</v>
      </c>
      <c r="G86" s="1">
        <f ca="1">SUMPRODUCT((Master!$A$2:$A$57=$B86)*(Master!$G$2:$G$57+공격력),(Master!$A$2:$A$57=$B86)*Master!$H$2:$H$57,(Master!$A$2:$A$57=$B86)*Master!$D$2:$D$57,(Master!$A$2:$A$57=$B86)*OFFSET(Master!$I$2:$I$57,0,D86-1),(Master!$A$2:$A$57=$B86)*OFFSET(Master!$L$2:$L$57,0,E86-1),(Master!$A$2:$A$57=$B86)*OFFSET(Master!$O$2:$O$57,0,F86-1))</f>
        <v>0</v>
      </c>
      <c r="H86" s="7">
        <f t="shared" si="3"/>
        <v>0.61699999999999999</v>
      </c>
      <c r="I86" s="79">
        <v>0</v>
      </c>
      <c r="J86" s="78">
        <v>532</v>
      </c>
      <c r="K86" t="str">
        <f>VLOOKUP($B86&amp;1&amp;D86,Sheet3!$A$2:$E$221,5,0)</f>
        <v>파티원 치명저항증가 25% 6초</v>
      </c>
      <c r="L86" t="str">
        <f>VLOOKUP($B86&amp;2&amp;E86,Sheet3!$A$2:$E$221,5,0)</f>
        <v>파티원 받는피해 30%감소 6초</v>
      </c>
      <c r="M86" t="str">
        <f>VLOOKUP($B86&amp;3&amp;F86,Sheet3!$A$2:$E$221,5,0)</f>
        <v>쿨 10초 감소</v>
      </c>
      <c r="N86">
        <v>3.032</v>
      </c>
      <c r="O86">
        <v>3.649</v>
      </c>
    </row>
    <row r="87" spans="1:15">
      <c r="A87" t="str">
        <f t="shared" si="2"/>
        <v>바속10312</v>
      </c>
      <c r="B87" s="16" t="s">
        <v>5</v>
      </c>
      <c r="C87" s="16">
        <v>10</v>
      </c>
      <c r="D87" s="16">
        <v>3</v>
      </c>
      <c r="E87" s="16">
        <v>1</v>
      </c>
      <c r="F87" s="16">
        <v>2</v>
      </c>
      <c r="G87" s="1">
        <f ca="1">SUMPRODUCT((Master!$A$2:$A$57=$B87)*(Master!$G$2:$G$57+공격력),(Master!$A$2:$A$57=$B87)*Master!$H$2:$H$57,(Master!$A$2:$A$57=$B87)*Master!$D$2:$D$57,(Master!$A$2:$A$57=$B87)*OFFSET(Master!$I$2:$I$57,0,D87-1),(Master!$A$2:$A$57=$B87)*OFFSET(Master!$L$2:$L$57,0,E87-1),(Master!$A$2:$A$57=$B87)*OFFSET(Master!$O$2:$O$57,0,F87-1))</f>
        <v>14758.365122615804</v>
      </c>
      <c r="H87" s="7">
        <f t="shared" si="3"/>
        <v>0.61699999999999999</v>
      </c>
      <c r="I87" s="79">
        <v>58</v>
      </c>
      <c r="J87" s="78">
        <v>513</v>
      </c>
      <c r="K87" t="str">
        <f>VLOOKUP($B87&amp;1&amp;D87,Sheet3!$A$2:$E$221,5,0)</f>
        <v>파티원 치명저항증가 25% 6초</v>
      </c>
      <c r="L87" t="str">
        <f>VLOOKUP($B87&amp;2&amp;E87,Sheet3!$A$2:$E$221,5,0)</f>
        <v>파티원 받는피해 30%감소 6초</v>
      </c>
      <c r="M87" t="str">
        <f>VLOOKUP($B87&amp;3&amp;F87,Sheet3!$A$2:$E$221,5,0)</f>
        <v>-</v>
      </c>
      <c r="N87">
        <v>3.032</v>
      </c>
      <c r="O87">
        <v>3.649</v>
      </c>
    </row>
    <row r="88" spans="1:15">
      <c r="A88" t="str">
        <f t="shared" si="2"/>
        <v>바속10321</v>
      </c>
      <c r="B88" s="16" t="s">
        <v>5</v>
      </c>
      <c r="C88" s="16">
        <v>10</v>
      </c>
      <c r="D88" s="16">
        <v>3</v>
      </c>
      <c r="E88" s="16">
        <v>2</v>
      </c>
      <c r="F88" s="16">
        <v>1</v>
      </c>
      <c r="G88" s="1">
        <f ca="1">SUMPRODUCT((Master!$A$2:$A$57=$B88)*(Master!$G$2:$G$57+공격력),(Master!$A$2:$A$57=$B88)*Master!$H$2:$H$57,(Master!$A$2:$A$57=$B88)*Master!$D$2:$D$57,(Master!$A$2:$A$57=$B88)*OFFSET(Master!$I$2:$I$57,0,D88-1),(Master!$A$2:$A$57=$B88)*OFFSET(Master!$L$2:$L$57,0,E88-1),(Master!$A$2:$A$57=$B88)*OFFSET(Master!$O$2:$O$57,0,F88-1))</f>
        <v>0</v>
      </c>
      <c r="H88" s="7">
        <f t="shared" si="3"/>
        <v>0.61699999999999999</v>
      </c>
      <c r="I88" s="79">
        <v>0</v>
      </c>
      <c r="J88" s="78">
        <v>532</v>
      </c>
      <c r="K88" t="str">
        <f>VLOOKUP($B88&amp;1&amp;D88,Sheet3!$A$2:$E$221,5,0)</f>
        <v>파티원 치명저항증가 25% 6초</v>
      </c>
      <c r="L88" t="str">
        <f>VLOOKUP($B88&amp;2&amp;E88,Sheet3!$A$2:$E$221,5,0)</f>
        <v>파티원 치명타 적중률 25%증가 6초</v>
      </c>
      <c r="M88" t="str">
        <f>VLOOKUP($B88&amp;3&amp;F88,Sheet3!$A$2:$E$221,5,0)</f>
        <v>쿨 10초 감소</v>
      </c>
      <c r="N88">
        <v>3.032</v>
      </c>
      <c r="O88">
        <v>3.649</v>
      </c>
    </row>
    <row r="89" spans="1:15">
      <c r="A89" t="str">
        <f t="shared" si="2"/>
        <v>바속10322</v>
      </c>
      <c r="B89" s="16" t="s">
        <v>5</v>
      </c>
      <c r="C89" s="16">
        <v>10</v>
      </c>
      <c r="D89" s="16">
        <v>3</v>
      </c>
      <c r="E89" s="16">
        <v>2</v>
      </c>
      <c r="F89" s="16">
        <v>2</v>
      </c>
      <c r="G89" s="1">
        <f ca="1">SUMPRODUCT((Master!$A$2:$A$57=$B89)*(Master!$G$2:$G$57+공격력),(Master!$A$2:$A$57=$B89)*Master!$H$2:$H$57,(Master!$A$2:$A$57=$B89)*Master!$D$2:$D$57,(Master!$A$2:$A$57=$B89)*OFFSET(Master!$I$2:$I$57,0,D89-1),(Master!$A$2:$A$57=$B89)*OFFSET(Master!$L$2:$L$57,0,E89-1),(Master!$A$2:$A$57=$B89)*OFFSET(Master!$O$2:$O$57,0,F89-1))</f>
        <v>14758.365122615804</v>
      </c>
      <c r="H89" s="7">
        <f t="shared" si="3"/>
        <v>0.61699999999999999</v>
      </c>
      <c r="I89" s="79">
        <v>58</v>
      </c>
      <c r="J89" s="78">
        <v>513</v>
      </c>
      <c r="K89" t="str">
        <f>VLOOKUP($B89&amp;1&amp;D89,Sheet3!$A$2:$E$221,5,0)</f>
        <v>파티원 치명저항증가 25% 6초</v>
      </c>
      <c r="L89" t="str">
        <f>VLOOKUP($B89&amp;2&amp;E89,Sheet3!$A$2:$E$221,5,0)</f>
        <v>파티원 치명타 적중률 25%증가 6초</v>
      </c>
      <c r="M89" t="str">
        <f>VLOOKUP($B89&amp;3&amp;F89,Sheet3!$A$2:$E$221,5,0)</f>
        <v>-</v>
      </c>
      <c r="N89">
        <v>3.032</v>
      </c>
      <c r="O89">
        <v>3.649</v>
      </c>
    </row>
    <row r="90" spans="1:15">
      <c r="A90" t="str">
        <f t="shared" si="2"/>
        <v>바속10331</v>
      </c>
      <c r="B90" s="16" t="s">
        <v>5</v>
      </c>
      <c r="C90" s="16">
        <v>10</v>
      </c>
      <c r="D90" s="16">
        <v>3</v>
      </c>
      <c r="E90" s="16">
        <v>3</v>
      </c>
      <c r="F90" s="16">
        <v>1</v>
      </c>
      <c r="G90" s="1">
        <f ca="1">SUMPRODUCT((Master!$A$2:$A$57=$B90)*(Master!$G$2:$G$57+공격력),(Master!$A$2:$A$57=$B90)*Master!$H$2:$H$57,(Master!$A$2:$A$57=$B90)*Master!$D$2:$D$57,(Master!$A$2:$A$57=$B90)*OFFSET(Master!$I$2:$I$57,0,D90-1),(Master!$A$2:$A$57=$B90)*OFFSET(Master!$L$2:$L$57,0,E90-1),(Master!$A$2:$A$57=$B90)*OFFSET(Master!$O$2:$O$57,0,F90-1))</f>
        <v>0</v>
      </c>
      <c r="H90" s="7">
        <f t="shared" si="3"/>
        <v>0.61699999999999999</v>
      </c>
      <c r="I90" s="79">
        <v>0</v>
      </c>
      <c r="J90" s="78">
        <v>532</v>
      </c>
      <c r="K90" t="str">
        <f>VLOOKUP($B90&amp;1&amp;D90,Sheet3!$A$2:$E$221,5,0)</f>
        <v>파티원 치명저항증가 25% 6초</v>
      </c>
      <c r="L90" t="str">
        <f>VLOOKUP($B90&amp;2&amp;E90,Sheet3!$A$2:$E$221,5,0)</f>
        <v>지속시간 2배 증가</v>
      </c>
      <c r="M90" t="str">
        <f>VLOOKUP($B90&amp;3&amp;F90,Sheet3!$A$2:$E$221,5,0)</f>
        <v>쿨 10초 감소</v>
      </c>
      <c r="N90">
        <v>3.032</v>
      </c>
      <c r="O90">
        <v>3.649</v>
      </c>
    </row>
    <row r="91" spans="1:15">
      <c r="A91" t="str">
        <f t="shared" si="2"/>
        <v>바속10332</v>
      </c>
      <c r="B91" s="16" t="s">
        <v>5</v>
      </c>
      <c r="C91" s="16">
        <v>10</v>
      </c>
      <c r="D91" s="16">
        <v>3</v>
      </c>
      <c r="E91" s="16">
        <v>3</v>
      </c>
      <c r="F91" s="16">
        <v>2</v>
      </c>
      <c r="G91" s="1">
        <f ca="1">SUMPRODUCT((Master!$A$2:$A$57=$B91)*(Master!$G$2:$G$57+공격력),(Master!$A$2:$A$57=$B91)*Master!$H$2:$H$57,(Master!$A$2:$A$57=$B91)*Master!$D$2:$D$57,(Master!$A$2:$A$57=$B91)*OFFSET(Master!$I$2:$I$57,0,D91-1),(Master!$A$2:$A$57=$B91)*OFFSET(Master!$L$2:$L$57,0,E91-1),(Master!$A$2:$A$57=$B91)*OFFSET(Master!$O$2:$O$57,0,F91-1))</f>
        <v>14758.365122615804</v>
      </c>
      <c r="H91" s="7">
        <f t="shared" si="3"/>
        <v>0.61699999999999999</v>
      </c>
      <c r="I91" s="79">
        <v>58</v>
      </c>
      <c r="J91" s="78">
        <v>513</v>
      </c>
      <c r="K91" t="str">
        <f>VLOOKUP($B91&amp;1&amp;D91,Sheet3!$A$2:$E$221,5,0)</f>
        <v>파티원 치명저항증가 25% 6초</v>
      </c>
      <c r="L91" t="str">
        <f>VLOOKUP($B91&amp;2&amp;E91,Sheet3!$A$2:$E$221,5,0)</f>
        <v>지속시간 2배 증가</v>
      </c>
      <c r="M91" t="str">
        <f>VLOOKUP($B91&amp;3&amp;F91,Sheet3!$A$2:$E$221,5,0)</f>
        <v>-</v>
      </c>
      <c r="N91">
        <v>3.032</v>
      </c>
      <c r="O91">
        <v>3.649</v>
      </c>
    </row>
    <row r="92" spans="1:15">
      <c r="A92" t="str">
        <f t="shared" si="2"/>
        <v>방천10111</v>
      </c>
      <c r="B92" s="16" t="s">
        <v>8</v>
      </c>
      <c r="C92" s="16">
        <v>10</v>
      </c>
      <c r="D92" s="16">
        <v>1</v>
      </c>
      <c r="E92" s="16">
        <v>1</v>
      </c>
      <c r="F92" s="16">
        <v>1</v>
      </c>
      <c r="G92" s="1">
        <f ca="1">SUMPRODUCT((Master!$A$2:$A$57=$B92)*(Master!$G$2:$G$57+공격력),(Master!$A$2:$A$57=$B92)*Master!$H$2:$H$57,(Master!$A$2:$A$57=$B92)*Master!$D$2:$D$57,(Master!$A$2:$A$57=$B92)*OFFSET(Master!$I$2:$I$57,0,D92-1),(Master!$A$2:$A$57=$B92)*OFFSET(Master!$L$2:$L$57,0,E92-1),(Master!$A$2:$A$57=$B92)*OFFSET(Master!$O$2:$O$57,0,F92-1))</f>
        <v>15904.212172173025</v>
      </c>
      <c r="H92" s="7">
        <f t="shared" si="3"/>
        <v>1.6689999999999987</v>
      </c>
      <c r="I92" s="79">
        <v>59</v>
      </c>
      <c r="J92" s="78">
        <v>472</v>
      </c>
      <c r="K92" t="str">
        <f>VLOOKUP($B92&amp;1&amp;D92,Sheet3!$A$2:$E$221,5,0)</f>
        <v>버블수급 25%증가</v>
      </c>
      <c r="L92" t="str">
        <f>VLOOKUP($B92&amp;2&amp;E92,Sheet3!$A$2:$E$221,5,0)</f>
        <v>공격범위, 공속 20%증가</v>
      </c>
      <c r="M92" t="str">
        <f>VLOOKUP($B92&amp;3&amp;F92,Sheet3!$A$2:$E$221,5,0)</f>
        <v>공격형태 변경. 시전시간동안 받는피해 30%증가</v>
      </c>
      <c r="N92">
        <v>15.464</v>
      </c>
      <c r="O92">
        <v>17.132999999999999</v>
      </c>
    </row>
    <row r="93" spans="1:15">
      <c r="A93" t="str">
        <f t="shared" si="2"/>
        <v>방천10112</v>
      </c>
      <c r="B93" s="16" t="s">
        <v>8</v>
      </c>
      <c r="C93" s="16">
        <v>10</v>
      </c>
      <c r="D93" s="16">
        <v>1</v>
      </c>
      <c r="E93" s="16">
        <v>1</v>
      </c>
      <c r="F93" s="16">
        <v>2</v>
      </c>
      <c r="G93" s="1">
        <f ca="1">SUMPRODUCT((Master!$A$2:$A$57=$B93)*(Master!$G$2:$G$57+공격력),(Master!$A$2:$A$57=$B93)*Master!$H$2:$H$57,(Master!$A$2:$A$57=$B93)*Master!$D$2:$D$57,(Master!$A$2:$A$57=$B93)*OFFSET(Master!$I$2:$I$57,0,D93-1),(Master!$A$2:$A$57=$B93)*OFFSET(Master!$L$2:$L$57,0,E93-1),(Master!$A$2:$A$57=$B93)*OFFSET(Master!$O$2:$O$57,0,F93-1))</f>
        <v>11300.188615743929</v>
      </c>
      <c r="H93" s="7">
        <f t="shared" si="3"/>
        <v>1.4529999999999994</v>
      </c>
      <c r="I93" s="79">
        <v>43</v>
      </c>
      <c r="J93" s="78">
        <v>490</v>
      </c>
      <c r="K93" t="str">
        <f>VLOOKUP($B93&amp;1&amp;D93,Sheet3!$A$2:$E$221,5,0)</f>
        <v>버블수급 25%증가</v>
      </c>
      <c r="L93" t="str">
        <f>VLOOKUP($B93&amp;2&amp;E93,Sheet3!$A$2:$E$221,5,0)</f>
        <v>공격범위, 공속 20%증가</v>
      </c>
      <c r="M93" t="str">
        <f>VLOOKUP($B93&amp;3&amp;F93,Sheet3!$A$2:$E$221,5,0)</f>
        <v>내려찍는 발차기 추가</v>
      </c>
      <c r="N93">
        <v>20.114000000000001</v>
      </c>
      <c r="O93">
        <v>21.567</v>
      </c>
    </row>
    <row r="94" spans="1:15">
      <c r="A94" t="str">
        <f t="shared" si="2"/>
        <v>방천10121</v>
      </c>
      <c r="B94" s="16" t="s">
        <v>8</v>
      </c>
      <c r="C94" s="16">
        <v>10</v>
      </c>
      <c r="D94" s="16">
        <v>1</v>
      </c>
      <c r="E94" s="16">
        <v>2</v>
      </c>
      <c r="F94" s="16">
        <v>1</v>
      </c>
      <c r="G94" s="1">
        <f ca="1">SUMPRODUCT((Master!$A$2:$A$57=$B94)*(Master!$G$2:$G$57+공격력),(Master!$A$2:$A$57=$B94)*Master!$H$2:$H$57,(Master!$A$2:$A$57=$B94)*Master!$D$2:$D$57,(Master!$A$2:$A$57=$B94)*OFFSET(Master!$I$2:$I$57,0,D94-1),(Master!$A$2:$A$57=$B94)*OFFSET(Master!$L$2:$L$57,0,E94-1),(Master!$A$2:$A$57=$B94)*OFFSET(Master!$O$2:$O$57,0,F94-1))</f>
        <v>15904.212172173025</v>
      </c>
      <c r="H94" s="7">
        <f t="shared" si="3"/>
        <v>2.0329999999999995</v>
      </c>
      <c r="I94" s="79">
        <v>59</v>
      </c>
      <c r="J94" s="78">
        <v>472</v>
      </c>
      <c r="K94" t="str">
        <f>VLOOKUP($B94&amp;1&amp;D94,Sheet3!$A$2:$E$221,5,0)</f>
        <v>버블수급 25%증가</v>
      </c>
      <c r="L94" t="str">
        <f>VLOOKUP($B94&amp;2&amp;E94,Sheet3!$A$2:$E$221,5,0)</f>
        <v>암속성, 방깍 30% 5초</v>
      </c>
      <c r="M94" t="str">
        <f>VLOOKUP($B94&amp;3&amp;F94,Sheet3!$A$2:$E$221,5,0)</f>
        <v>공격형태 변경. 시전시간동안 받는피해 30%증가</v>
      </c>
      <c r="N94">
        <v>8.9329999999999998</v>
      </c>
      <c r="O94">
        <v>10.965999999999999</v>
      </c>
    </row>
    <row r="95" spans="1:15">
      <c r="A95" t="str">
        <f t="shared" si="2"/>
        <v>방천10122</v>
      </c>
      <c r="B95" s="16" t="s">
        <v>8</v>
      </c>
      <c r="C95" s="16">
        <v>10</v>
      </c>
      <c r="D95" s="16">
        <v>1</v>
      </c>
      <c r="E95" s="16">
        <v>2</v>
      </c>
      <c r="F95" s="16">
        <v>2</v>
      </c>
      <c r="G95" s="1">
        <f ca="1">SUMPRODUCT((Master!$A$2:$A$57=$B95)*(Master!$G$2:$G$57+공격력),(Master!$A$2:$A$57=$B95)*Master!$H$2:$H$57,(Master!$A$2:$A$57=$B95)*Master!$D$2:$D$57,(Master!$A$2:$A$57=$B95)*OFFSET(Master!$I$2:$I$57,0,D95-1),(Master!$A$2:$A$57=$B95)*OFFSET(Master!$L$2:$L$57,0,E95-1),(Master!$A$2:$A$57=$B95)*OFFSET(Master!$O$2:$O$57,0,F95-1))</f>
        <v>11300.188615743929</v>
      </c>
      <c r="H95" s="7">
        <f t="shared" si="3"/>
        <v>1.6510000000000016</v>
      </c>
      <c r="I95" s="79">
        <v>43</v>
      </c>
      <c r="J95" s="78">
        <v>490</v>
      </c>
      <c r="K95" t="str">
        <f>VLOOKUP($B95&amp;1&amp;D95,Sheet3!$A$2:$E$221,5,0)</f>
        <v>버블수급 25%증가</v>
      </c>
      <c r="L95" t="str">
        <f>VLOOKUP($B95&amp;2&amp;E95,Sheet3!$A$2:$E$221,5,0)</f>
        <v>암속성, 방깍 30% 5초</v>
      </c>
      <c r="M95" t="str">
        <f>VLOOKUP($B95&amp;3&amp;F95,Sheet3!$A$2:$E$221,5,0)</f>
        <v>내려찍는 발차기 추가</v>
      </c>
      <c r="N95">
        <v>13.914999999999999</v>
      </c>
      <c r="O95">
        <v>15.566000000000001</v>
      </c>
    </row>
    <row r="96" spans="1:15">
      <c r="A96" t="str">
        <f t="shared" si="2"/>
        <v>방천10131</v>
      </c>
      <c r="B96" s="16" t="s">
        <v>8</v>
      </c>
      <c r="C96" s="16">
        <v>10</v>
      </c>
      <c r="D96" s="16">
        <v>1</v>
      </c>
      <c r="E96" s="16">
        <v>3</v>
      </c>
      <c r="F96" s="16">
        <v>1</v>
      </c>
      <c r="G96" s="1">
        <f ca="1">SUMPRODUCT((Master!$A$2:$A$57=$B96)*(Master!$G$2:$G$57+공격력),(Master!$A$2:$A$57=$B96)*Master!$H$2:$H$57,(Master!$A$2:$A$57=$B96)*Master!$D$2:$D$57,(Master!$A$2:$A$57=$B96)*OFFSET(Master!$I$2:$I$57,0,D96-1),(Master!$A$2:$A$57=$B96)*OFFSET(Master!$L$2:$L$57,0,E96-1),(Master!$A$2:$A$57=$B96)*OFFSET(Master!$O$2:$O$57,0,F96-1))</f>
        <v>15904.212172173025</v>
      </c>
      <c r="H96" s="7">
        <f t="shared" si="3"/>
        <v>2.0329999999999995</v>
      </c>
      <c r="I96" s="79">
        <v>59</v>
      </c>
      <c r="J96" s="78">
        <v>472</v>
      </c>
      <c r="K96" t="str">
        <f>VLOOKUP($B96&amp;1&amp;D96,Sheet3!$A$2:$E$221,5,0)</f>
        <v>버블수급 25%증가</v>
      </c>
      <c r="L96" t="str">
        <f>VLOOKUP($B96&amp;2&amp;E96,Sheet3!$A$2:$E$221,5,0)</f>
        <v>뇌속성, 막타적중시 50%확률로 전격 4초(기본데미지의 50% 추정)</v>
      </c>
      <c r="M96" t="str">
        <f>VLOOKUP($B96&amp;3&amp;F96,Sheet3!$A$2:$E$221,5,0)</f>
        <v>공격형태 변경. 시전시간동안 받는피해 30%증가</v>
      </c>
      <c r="N96">
        <v>8.9329999999999998</v>
      </c>
      <c r="O96">
        <v>10.965999999999999</v>
      </c>
    </row>
    <row r="97" spans="1:15">
      <c r="A97" t="str">
        <f t="shared" si="2"/>
        <v>방천10132</v>
      </c>
      <c r="B97" s="16" t="s">
        <v>8</v>
      </c>
      <c r="C97" s="16">
        <v>10</v>
      </c>
      <c r="D97" s="16">
        <v>1</v>
      </c>
      <c r="E97" s="16">
        <v>3</v>
      </c>
      <c r="F97" s="16">
        <v>2</v>
      </c>
      <c r="G97" s="1">
        <f ca="1">SUMPRODUCT((Master!$A$2:$A$57=$B97)*(Master!$G$2:$G$57+공격력),(Master!$A$2:$A$57=$B97)*Master!$H$2:$H$57,(Master!$A$2:$A$57=$B97)*Master!$D$2:$D$57,(Master!$A$2:$A$57=$B97)*OFFSET(Master!$I$2:$I$57,0,D97-1),(Master!$A$2:$A$57=$B97)*OFFSET(Master!$L$2:$L$57,0,E97-1),(Master!$A$2:$A$57=$B97)*OFFSET(Master!$O$2:$O$57,0,F97-1))</f>
        <v>11300.188615743929</v>
      </c>
      <c r="H97" s="7">
        <f t="shared" si="3"/>
        <v>1.6510000000000016</v>
      </c>
      <c r="I97" s="79">
        <v>43</v>
      </c>
      <c r="J97" s="78">
        <v>490</v>
      </c>
      <c r="K97" t="str">
        <f>VLOOKUP($B97&amp;1&amp;D97,Sheet3!$A$2:$E$221,5,0)</f>
        <v>버블수급 25%증가</v>
      </c>
      <c r="L97" t="str">
        <f>VLOOKUP($B97&amp;2&amp;E97,Sheet3!$A$2:$E$221,5,0)</f>
        <v>뇌속성, 막타적중시 50%확률로 전격 4초(기본데미지의 50% 추정)</v>
      </c>
      <c r="M97" t="str">
        <f>VLOOKUP($B97&amp;3&amp;F97,Sheet3!$A$2:$E$221,5,0)</f>
        <v>내려찍는 발차기 추가</v>
      </c>
      <c r="N97">
        <v>13.914999999999999</v>
      </c>
      <c r="O97">
        <v>15.566000000000001</v>
      </c>
    </row>
    <row r="98" spans="1:15">
      <c r="A98" t="str">
        <f t="shared" si="2"/>
        <v>방천10211</v>
      </c>
      <c r="B98" s="16" t="s">
        <v>8</v>
      </c>
      <c r="C98" s="16">
        <v>10</v>
      </c>
      <c r="D98" s="16">
        <v>2</v>
      </c>
      <c r="E98" s="16">
        <v>1</v>
      </c>
      <c r="F98" s="16">
        <v>1</v>
      </c>
      <c r="G98" s="1">
        <f ca="1">SUMPRODUCT((Master!$A$2:$A$57=$B98)*(Master!$G$2:$G$57+공격력),(Master!$A$2:$A$57=$B98)*Master!$H$2:$H$57,(Master!$A$2:$A$57=$B98)*Master!$D$2:$D$57,(Master!$A$2:$A$57=$B98)*OFFSET(Master!$I$2:$I$57,0,D98-1),(Master!$A$2:$A$57=$B98)*OFFSET(Master!$L$2:$L$57,0,E98-1),(Master!$A$2:$A$57=$B98)*OFFSET(Master!$O$2:$O$57,0,F98-1))</f>
        <v>20675.475823824934</v>
      </c>
      <c r="H98" s="7">
        <f t="shared" si="3"/>
        <v>1.6689999999999987</v>
      </c>
      <c r="I98" s="79">
        <v>48</v>
      </c>
      <c r="J98" s="78">
        <v>472</v>
      </c>
      <c r="K98" t="str">
        <f>VLOOKUP($B98&amp;1&amp;D98,Sheet3!$A$2:$E$221,5,0)</f>
        <v>-</v>
      </c>
      <c r="L98" t="str">
        <f>VLOOKUP($B98&amp;2&amp;E98,Sheet3!$A$2:$E$221,5,0)</f>
        <v>공격범위, 공속 20%증가</v>
      </c>
      <c r="M98" t="str">
        <f>VLOOKUP($B98&amp;3&amp;F98,Sheet3!$A$2:$E$221,5,0)</f>
        <v>공격형태 변경. 시전시간동안 받는피해 30%증가</v>
      </c>
      <c r="N98">
        <v>15.464</v>
      </c>
      <c r="O98">
        <v>17.132999999999999</v>
      </c>
    </row>
    <row r="99" spans="1:15">
      <c r="A99" t="str">
        <f t="shared" si="2"/>
        <v>방천10212</v>
      </c>
      <c r="B99" s="16" t="s">
        <v>8</v>
      </c>
      <c r="C99" s="16">
        <v>10</v>
      </c>
      <c r="D99" s="16">
        <v>2</v>
      </c>
      <c r="E99" s="16">
        <v>1</v>
      </c>
      <c r="F99" s="16">
        <v>2</v>
      </c>
      <c r="G99" s="1">
        <f ca="1">SUMPRODUCT((Master!$A$2:$A$57=$B99)*(Master!$G$2:$G$57+공격력),(Master!$A$2:$A$57=$B99)*Master!$H$2:$H$57,(Master!$A$2:$A$57=$B99)*Master!$D$2:$D$57,(Master!$A$2:$A$57=$B99)*OFFSET(Master!$I$2:$I$57,0,D99-1),(Master!$A$2:$A$57=$B99)*OFFSET(Master!$L$2:$L$57,0,E99-1),(Master!$A$2:$A$57=$B99)*OFFSET(Master!$O$2:$O$57,0,F99-1))</f>
        <v>14690.245200467107</v>
      </c>
      <c r="H99" s="7">
        <f t="shared" si="3"/>
        <v>1.4529999999999994</v>
      </c>
      <c r="I99" s="79">
        <v>35</v>
      </c>
      <c r="J99" s="78">
        <v>490</v>
      </c>
      <c r="K99" t="str">
        <f>VLOOKUP($B99&amp;1&amp;D99,Sheet3!$A$2:$E$221,5,0)</f>
        <v>-</v>
      </c>
      <c r="L99" t="str">
        <f>VLOOKUP($B99&amp;2&amp;E99,Sheet3!$A$2:$E$221,5,0)</f>
        <v>공격범위, 공속 20%증가</v>
      </c>
      <c r="M99" t="str">
        <f>VLOOKUP($B99&amp;3&amp;F99,Sheet3!$A$2:$E$221,5,0)</f>
        <v>내려찍는 발차기 추가</v>
      </c>
      <c r="N99">
        <v>20.114000000000001</v>
      </c>
      <c r="O99">
        <v>21.567</v>
      </c>
    </row>
    <row r="100" spans="1:15">
      <c r="A100" t="str">
        <f t="shared" si="2"/>
        <v>방천10221</v>
      </c>
      <c r="B100" s="16" t="s">
        <v>8</v>
      </c>
      <c r="C100" s="16">
        <v>10</v>
      </c>
      <c r="D100" s="16">
        <v>2</v>
      </c>
      <c r="E100" s="16">
        <v>2</v>
      </c>
      <c r="F100" s="16">
        <v>1</v>
      </c>
      <c r="G100" s="1">
        <f ca="1">SUMPRODUCT((Master!$A$2:$A$57=$B100)*(Master!$G$2:$G$57+공격력),(Master!$A$2:$A$57=$B100)*Master!$H$2:$H$57,(Master!$A$2:$A$57=$B100)*Master!$D$2:$D$57,(Master!$A$2:$A$57=$B100)*OFFSET(Master!$I$2:$I$57,0,D100-1),(Master!$A$2:$A$57=$B100)*OFFSET(Master!$L$2:$L$57,0,E100-1),(Master!$A$2:$A$57=$B100)*OFFSET(Master!$O$2:$O$57,0,F100-1))</f>
        <v>20675.475823824934</v>
      </c>
      <c r="H100" s="7">
        <f t="shared" si="3"/>
        <v>2.0329999999999995</v>
      </c>
      <c r="I100" s="79">
        <v>48</v>
      </c>
      <c r="J100" s="78">
        <v>472</v>
      </c>
      <c r="K100" t="str">
        <f>VLOOKUP($B100&amp;1&amp;D100,Sheet3!$A$2:$E$221,5,0)</f>
        <v>-</v>
      </c>
      <c r="L100" t="str">
        <f>VLOOKUP($B100&amp;2&amp;E100,Sheet3!$A$2:$E$221,5,0)</f>
        <v>암속성, 방깍 30% 5초</v>
      </c>
      <c r="M100" t="str">
        <f>VLOOKUP($B100&amp;3&amp;F100,Sheet3!$A$2:$E$221,5,0)</f>
        <v>공격형태 변경. 시전시간동안 받는피해 30%증가</v>
      </c>
      <c r="N100">
        <v>8.9329999999999998</v>
      </c>
      <c r="O100">
        <v>10.965999999999999</v>
      </c>
    </row>
    <row r="101" spans="1:15">
      <c r="A101" t="str">
        <f t="shared" si="2"/>
        <v>방천10222</v>
      </c>
      <c r="B101" s="16" t="s">
        <v>8</v>
      </c>
      <c r="C101" s="16">
        <v>10</v>
      </c>
      <c r="D101" s="16">
        <v>2</v>
      </c>
      <c r="E101" s="16">
        <v>2</v>
      </c>
      <c r="F101" s="16">
        <v>2</v>
      </c>
      <c r="G101" s="1">
        <f ca="1">SUMPRODUCT((Master!$A$2:$A$57=$B101)*(Master!$G$2:$G$57+공격력),(Master!$A$2:$A$57=$B101)*Master!$H$2:$H$57,(Master!$A$2:$A$57=$B101)*Master!$D$2:$D$57,(Master!$A$2:$A$57=$B101)*OFFSET(Master!$I$2:$I$57,0,D101-1),(Master!$A$2:$A$57=$B101)*OFFSET(Master!$L$2:$L$57,0,E101-1),(Master!$A$2:$A$57=$B101)*OFFSET(Master!$O$2:$O$57,0,F101-1))</f>
        <v>14690.245200467107</v>
      </c>
      <c r="H101" s="7">
        <f t="shared" si="3"/>
        <v>1.6510000000000016</v>
      </c>
      <c r="I101" s="79">
        <v>35</v>
      </c>
      <c r="J101" s="78">
        <v>490</v>
      </c>
      <c r="K101" t="str">
        <f>VLOOKUP($B101&amp;1&amp;D101,Sheet3!$A$2:$E$221,5,0)</f>
        <v>-</v>
      </c>
      <c r="L101" t="str">
        <f>VLOOKUP($B101&amp;2&amp;E101,Sheet3!$A$2:$E$221,5,0)</f>
        <v>암속성, 방깍 30% 5초</v>
      </c>
      <c r="M101" t="str">
        <f>VLOOKUP($B101&amp;3&amp;F101,Sheet3!$A$2:$E$221,5,0)</f>
        <v>내려찍는 발차기 추가</v>
      </c>
      <c r="N101">
        <v>13.914999999999999</v>
      </c>
      <c r="O101">
        <v>15.566000000000001</v>
      </c>
    </row>
    <row r="102" spans="1:15">
      <c r="A102" t="str">
        <f t="shared" si="2"/>
        <v>방천10231</v>
      </c>
      <c r="B102" s="16" t="s">
        <v>8</v>
      </c>
      <c r="C102" s="16">
        <v>10</v>
      </c>
      <c r="D102" s="16">
        <v>2</v>
      </c>
      <c r="E102" s="16">
        <v>3</v>
      </c>
      <c r="F102" s="16">
        <v>1</v>
      </c>
      <c r="G102" s="1">
        <f ca="1">SUMPRODUCT((Master!$A$2:$A$57=$B102)*(Master!$G$2:$G$57+공격력),(Master!$A$2:$A$57=$B102)*Master!$H$2:$H$57,(Master!$A$2:$A$57=$B102)*Master!$D$2:$D$57,(Master!$A$2:$A$57=$B102)*OFFSET(Master!$I$2:$I$57,0,D102-1),(Master!$A$2:$A$57=$B102)*OFFSET(Master!$L$2:$L$57,0,E102-1),(Master!$A$2:$A$57=$B102)*OFFSET(Master!$O$2:$O$57,0,F102-1))</f>
        <v>20675.475823824934</v>
      </c>
      <c r="H102" s="7">
        <f t="shared" si="3"/>
        <v>2.0329999999999995</v>
      </c>
      <c r="I102" s="79">
        <v>48</v>
      </c>
      <c r="J102" s="78">
        <v>472</v>
      </c>
      <c r="K102" t="str">
        <f>VLOOKUP($B102&amp;1&amp;D102,Sheet3!$A$2:$E$221,5,0)</f>
        <v>-</v>
      </c>
      <c r="L102" t="str">
        <f>VLOOKUP($B102&amp;2&amp;E102,Sheet3!$A$2:$E$221,5,0)</f>
        <v>뇌속성, 막타적중시 50%확률로 전격 4초(기본데미지의 50% 추정)</v>
      </c>
      <c r="M102" t="str">
        <f>VLOOKUP($B102&amp;3&amp;F102,Sheet3!$A$2:$E$221,5,0)</f>
        <v>공격형태 변경. 시전시간동안 받는피해 30%증가</v>
      </c>
      <c r="N102">
        <v>8.9329999999999998</v>
      </c>
      <c r="O102">
        <v>10.965999999999999</v>
      </c>
    </row>
    <row r="103" spans="1:15">
      <c r="A103" t="str">
        <f t="shared" si="2"/>
        <v>방천10232</v>
      </c>
      <c r="B103" s="16" t="s">
        <v>8</v>
      </c>
      <c r="C103" s="16">
        <v>10</v>
      </c>
      <c r="D103" s="16">
        <v>2</v>
      </c>
      <c r="E103" s="16">
        <v>3</v>
      </c>
      <c r="F103" s="16">
        <v>2</v>
      </c>
      <c r="G103" s="1">
        <f ca="1">SUMPRODUCT((Master!$A$2:$A$57=$B103)*(Master!$G$2:$G$57+공격력),(Master!$A$2:$A$57=$B103)*Master!$H$2:$H$57,(Master!$A$2:$A$57=$B103)*Master!$D$2:$D$57,(Master!$A$2:$A$57=$B103)*OFFSET(Master!$I$2:$I$57,0,D103-1),(Master!$A$2:$A$57=$B103)*OFFSET(Master!$L$2:$L$57,0,E103-1),(Master!$A$2:$A$57=$B103)*OFFSET(Master!$O$2:$O$57,0,F103-1))</f>
        <v>14690.245200467107</v>
      </c>
      <c r="H103" s="7">
        <f t="shared" si="3"/>
        <v>1.6510000000000016</v>
      </c>
      <c r="I103" s="79">
        <v>35</v>
      </c>
      <c r="J103" s="78">
        <v>490</v>
      </c>
      <c r="K103" t="str">
        <f>VLOOKUP($B103&amp;1&amp;D103,Sheet3!$A$2:$E$221,5,0)</f>
        <v>-</v>
      </c>
      <c r="L103" t="str">
        <f>VLOOKUP($B103&amp;2&amp;E103,Sheet3!$A$2:$E$221,5,0)</f>
        <v>뇌속성, 막타적중시 50%확률로 전격 4초(기본데미지의 50% 추정)</v>
      </c>
      <c r="M103" t="str">
        <f>VLOOKUP($B103&amp;3&amp;F103,Sheet3!$A$2:$E$221,5,0)</f>
        <v>내려찍는 발차기 추가</v>
      </c>
      <c r="N103">
        <v>13.914999999999999</v>
      </c>
      <c r="O103">
        <v>15.566000000000001</v>
      </c>
    </row>
    <row r="104" spans="1:15">
      <c r="A104" t="str">
        <f t="shared" si="2"/>
        <v>방천10311</v>
      </c>
      <c r="B104" s="16" t="s">
        <v>8</v>
      </c>
      <c r="C104" s="16">
        <v>10</v>
      </c>
      <c r="D104" s="16">
        <v>3</v>
      </c>
      <c r="E104" s="16">
        <v>1</v>
      </c>
      <c r="F104" s="16">
        <v>1</v>
      </c>
      <c r="G104" s="1">
        <f ca="1">SUMPRODUCT((Master!$A$2:$A$57=$B104)*(Master!$G$2:$G$57+공격력),(Master!$A$2:$A$57=$B104)*Master!$H$2:$H$57,(Master!$A$2:$A$57=$B104)*Master!$D$2:$D$57,(Master!$A$2:$A$57=$B104)*OFFSET(Master!$I$2:$I$57,0,D104-1),(Master!$A$2:$A$57=$B104)*OFFSET(Master!$L$2:$L$57,0,E104-1),(Master!$A$2:$A$57=$B104)*OFFSET(Master!$O$2:$O$57,0,F104-1))</f>
        <v>15904.212172173025</v>
      </c>
      <c r="H104" s="7">
        <f t="shared" si="3"/>
        <v>1.6689999999999987</v>
      </c>
      <c r="I104" s="79">
        <v>48</v>
      </c>
      <c r="J104" s="78">
        <v>472</v>
      </c>
      <c r="K104" t="str">
        <f>VLOOKUP($B104&amp;1&amp;D104,Sheet3!$A$2:$E$221,5,0)</f>
        <v>1타에 적을 넘어뜨리지 않고 경직+밀어냄</v>
      </c>
      <c r="L104" t="str">
        <f>VLOOKUP($B104&amp;2&amp;E104,Sheet3!$A$2:$E$221,5,0)</f>
        <v>공격범위, 공속 20%증가</v>
      </c>
      <c r="M104" t="str">
        <f>VLOOKUP($B104&amp;3&amp;F104,Sheet3!$A$2:$E$221,5,0)</f>
        <v>공격형태 변경. 시전시간동안 받는피해 30%증가</v>
      </c>
      <c r="N104">
        <v>15.464</v>
      </c>
      <c r="O104">
        <v>17.132999999999999</v>
      </c>
    </row>
    <row r="105" spans="1:15">
      <c r="A105" t="str">
        <f t="shared" si="2"/>
        <v>방천10312</v>
      </c>
      <c r="B105" s="16" t="s">
        <v>8</v>
      </c>
      <c r="C105" s="16">
        <v>10</v>
      </c>
      <c r="D105" s="16">
        <v>3</v>
      </c>
      <c r="E105" s="16">
        <v>1</v>
      </c>
      <c r="F105" s="16">
        <v>2</v>
      </c>
      <c r="G105" s="1">
        <f ca="1">SUMPRODUCT((Master!$A$2:$A$57=$B105)*(Master!$G$2:$G$57+공격력),(Master!$A$2:$A$57=$B105)*Master!$H$2:$H$57,(Master!$A$2:$A$57=$B105)*Master!$D$2:$D$57,(Master!$A$2:$A$57=$B105)*OFFSET(Master!$I$2:$I$57,0,D105-1),(Master!$A$2:$A$57=$B105)*OFFSET(Master!$L$2:$L$57,0,E105-1),(Master!$A$2:$A$57=$B105)*OFFSET(Master!$O$2:$O$57,0,F105-1))</f>
        <v>11300.188615743929</v>
      </c>
      <c r="H105" s="7">
        <f t="shared" si="3"/>
        <v>1.4529999999999994</v>
      </c>
      <c r="I105" s="79">
        <v>35</v>
      </c>
      <c r="J105" s="78">
        <v>490</v>
      </c>
      <c r="K105" t="str">
        <f>VLOOKUP($B105&amp;1&amp;D105,Sheet3!$A$2:$E$221,5,0)</f>
        <v>1타에 적을 넘어뜨리지 않고 경직+밀어냄</v>
      </c>
      <c r="L105" t="str">
        <f>VLOOKUP($B105&amp;2&amp;E105,Sheet3!$A$2:$E$221,5,0)</f>
        <v>공격범위, 공속 20%증가</v>
      </c>
      <c r="M105" t="str">
        <f>VLOOKUP($B105&amp;3&amp;F105,Sheet3!$A$2:$E$221,5,0)</f>
        <v>내려찍는 발차기 추가</v>
      </c>
      <c r="N105">
        <v>20.114000000000001</v>
      </c>
      <c r="O105">
        <v>21.567</v>
      </c>
    </row>
    <row r="106" spans="1:15">
      <c r="A106" t="str">
        <f t="shared" si="2"/>
        <v>방천10321</v>
      </c>
      <c r="B106" s="16" t="s">
        <v>8</v>
      </c>
      <c r="C106" s="16">
        <v>10</v>
      </c>
      <c r="D106" s="16">
        <v>3</v>
      </c>
      <c r="E106" s="16">
        <v>2</v>
      </c>
      <c r="F106" s="16">
        <v>1</v>
      </c>
      <c r="G106" s="1">
        <f ca="1">SUMPRODUCT((Master!$A$2:$A$57=$B106)*(Master!$G$2:$G$57+공격력),(Master!$A$2:$A$57=$B106)*Master!$H$2:$H$57,(Master!$A$2:$A$57=$B106)*Master!$D$2:$D$57,(Master!$A$2:$A$57=$B106)*OFFSET(Master!$I$2:$I$57,0,D106-1),(Master!$A$2:$A$57=$B106)*OFFSET(Master!$L$2:$L$57,0,E106-1),(Master!$A$2:$A$57=$B106)*OFFSET(Master!$O$2:$O$57,0,F106-1))</f>
        <v>15904.212172173025</v>
      </c>
      <c r="H106" s="7">
        <f t="shared" si="3"/>
        <v>2.0329999999999995</v>
      </c>
      <c r="I106" s="79">
        <v>48</v>
      </c>
      <c r="J106" s="78">
        <v>472</v>
      </c>
      <c r="K106" t="str">
        <f>VLOOKUP($B106&amp;1&amp;D106,Sheet3!$A$2:$E$221,5,0)</f>
        <v>1타에 적을 넘어뜨리지 않고 경직+밀어냄</v>
      </c>
      <c r="L106" t="str">
        <f>VLOOKUP($B106&amp;2&amp;E106,Sheet3!$A$2:$E$221,5,0)</f>
        <v>암속성, 방깍 30% 5초</v>
      </c>
      <c r="M106" t="str">
        <f>VLOOKUP($B106&amp;3&amp;F106,Sheet3!$A$2:$E$221,5,0)</f>
        <v>공격형태 변경. 시전시간동안 받는피해 30%증가</v>
      </c>
      <c r="N106">
        <v>8.9329999999999998</v>
      </c>
      <c r="O106">
        <v>10.965999999999999</v>
      </c>
    </row>
    <row r="107" spans="1:15">
      <c r="A107" t="str">
        <f t="shared" si="2"/>
        <v>방천10322</v>
      </c>
      <c r="B107" s="16" t="s">
        <v>8</v>
      </c>
      <c r="C107" s="16">
        <v>10</v>
      </c>
      <c r="D107" s="16">
        <v>3</v>
      </c>
      <c r="E107" s="16">
        <v>2</v>
      </c>
      <c r="F107" s="16">
        <v>2</v>
      </c>
      <c r="G107" s="1">
        <f ca="1">SUMPRODUCT((Master!$A$2:$A$57=$B107)*(Master!$G$2:$G$57+공격력),(Master!$A$2:$A$57=$B107)*Master!$H$2:$H$57,(Master!$A$2:$A$57=$B107)*Master!$D$2:$D$57,(Master!$A$2:$A$57=$B107)*OFFSET(Master!$I$2:$I$57,0,D107-1),(Master!$A$2:$A$57=$B107)*OFFSET(Master!$L$2:$L$57,0,E107-1),(Master!$A$2:$A$57=$B107)*OFFSET(Master!$O$2:$O$57,0,F107-1))</f>
        <v>11300.188615743929</v>
      </c>
      <c r="H107" s="7">
        <f t="shared" si="3"/>
        <v>1.6510000000000016</v>
      </c>
      <c r="I107" s="79">
        <v>35</v>
      </c>
      <c r="J107" s="78">
        <v>490</v>
      </c>
      <c r="K107" t="str">
        <f>VLOOKUP($B107&amp;1&amp;D107,Sheet3!$A$2:$E$221,5,0)</f>
        <v>1타에 적을 넘어뜨리지 않고 경직+밀어냄</v>
      </c>
      <c r="L107" t="str">
        <f>VLOOKUP($B107&amp;2&amp;E107,Sheet3!$A$2:$E$221,5,0)</f>
        <v>암속성, 방깍 30% 5초</v>
      </c>
      <c r="M107" t="str">
        <f>VLOOKUP($B107&amp;3&amp;F107,Sheet3!$A$2:$E$221,5,0)</f>
        <v>내려찍는 발차기 추가</v>
      </c>
      <c r="N107">
        <v>13.914999999999999</v>
      </c>
      <c r="O107">
        <v>15.566000000000001</v>
      </c>
    </row>
    <row r="108" spans="1:15">
      <c r="A108" t="str">
        <f t="shared" si="2"/>
        <v>방천10331</v>
      </c>
      <c r="B108" s="16" t="s">
        <v>8</v>
      </c>
      <c r="C108" s="16">
        <v>10</v>
      </c>
      <c r="D108" s="16">
        <v>3</v>
      </c>
      <c r="E108" s="16">
        <v>3</v>
      </c>
      <c r="F108" s="16">
        <v>1</v>
      </c>
      <c r="G108" s="1">
        <f ca="1">SUMPRODUCT((Master!$A$2:$A$57=$B108)*(Master!$G$2:$G$57+공격력),(Master!$A$2:$A$57=$B108)*Master!$H$2:$H$57,(Master!$A$2:$A$57=$B108)*Master!$D$2:$D$57,(Master!$A$2:$A$57=$B108)*OFFSET(Master!$I$2:$I$57,0,D108-1),(Master!$A$2:$A$57=$B108)*OFFSET(Master!$L$2:$L$57,0,E108-1),(Master!$A$2:$A$57=$B108)*OFFSET(Master!$O$2:$O$57,0,F108-1))</f>
        <v>15904.212172173025</v>
      </c>
      <c r="H108" s="7">
        <f t="shared" si="3"/>
        <v>2.0329999999999995</v>
      </c>
      <c r="I108" s="79">
        <v>48</v>
      </c>
      <c r="J108" s="78">
        <v>472</v>
      </c>
      <c r="K108" t="str">
        <f>VLOOKUP($B108&amp;1&amp;D108,Sheet3!$A$2:$E$221,5,0)</f>
        <v>1타에 적을 넘어뜨리지 않고 경직+밀어냄</v>
      </c>
      <c r="L108" t="str">
        <f>VLOOKUP($B108&amp;2&amp;E108,Sheet3!$A$2:$E$221,5,0)</f>
        <v>뇌속성, 막타적중시 50%확률로 전격 4초(기본데미지의 50% 추정)</v>
      </c>
      <c r="M108" t="str">
        <f>VLOOKUP($B108&amp;3&amp;F108,Sheet3!$A$2:$E$221,5,0)</f>
        <v>공격형태 변경. 시전시간동안 받는피해 30%증가</v>
      </c>
      <c r="N108">
        <v>8.9329999999999998</v>
      </c>
      <c r="O108">
        <v>10.965999999999999</v>
      </c>
    </row>
    <row r="109" spans="1:15">
      <c r="A109" t="str">
        <f t="shared" si="2"/>
        <v>방천10332</v>
      </c>
      <c r="B109" s="16" t="s">
        <v>8</v>
      </c>
      <c r="C109" s="16">
        <v>10</v>
      </c>
      <c r="D109" s="16">
        <v>3</v>
      </c>
      <c r="E109" s="16">
        <v>3</v>
      </c>
      <c r="F109" s="16">
        <v>2</v>
      </c>
      <c r="G109" s="1">
        <f ca="1">SUMPRODUCT((Master!$A$2:$A$57=$B109)*(Master!$G$2:$G$57+공격력),(Master!$A$2:$A$57=$B109)*Master!$H$2:$H$57,(Master!$A$2:$A$57=$B109)*Master!$D$2:$D$57,(Master!$A$2:$A$57=$B109)*OFFSET(Master!$I$2:$I$57,0,D109-1),(Master!$A$2:$A$57=$B109)*OFFSET(Master!$L$2:$L$57,0,E109-1),(Master!$A$2:$A$57=$B109)*OFFSET(Master!$O$2:$O$57,0,F109-1))</f>
        <v>11300.188615743929</v>
      </c>
      <c r="H109" s="7">
        <f t="shared" si="3"/>
        <v>1.6510000000000016</v>
      </c>
      <c r="I109" s="79">
        <v>35</v>
      </c>
      <c r="J109" s="78">
        <v>490</v>
      </c>
      <c r="K109" t="str">
        <f>VLOOKUP($B109&amp;1&amp;D109,Sheet3!$A$2:$E$221,5,0)</f>
        <v>1타에 적을 넘어뜨리지 않고 경직+밀어냄</v>
      </c>
      <c r="L109" t="str">
        <f>VLOOKUP($B109&amp;2&amp;E109,Sheet3!$A$2:$E$221,5,0)</f>
        <v>뇌속성, 막타적중시 50%확률로 전격 4초(기본데미지의 50% 추정)</v>
      </c>
      <c r="M109" t="str">
        <f>VLOOKUP($B109&amp;3&amp;F109,Sheet3!$A$2:$E$221,5,0)</f>
        <v>내려찍는 발차기 추가</v>
      </c>
      <c r="N109">
        <v>13.914999999999999</v>
      </c>
      <c r="O109">
        <v>15.566000000000001</v>
      </c>
    </row>
    <row r="110" spans="1:15">
      <c r="A110" t="str">
        <f t="shared" si="2"/>
        <v>붕천10111</v>
      </c>
      <c r="B110" s="16" t="s">
        <v>24</v>
      </c>
      <c r="C110" s="16">
        <v>10</v>
      </c>
      <c r="D110" s="16">
        <v>1</v>
      </c>
      <c r="E110" s="16">
        <v>1</v>
      </c>
      <c r="F110" s="16">
        <v>1</v>
      </c>
      <c r="G110" s="1">
        <f ca="1">SUMPRODUCT((Master!$A$2:$A$57=$B110)*(Master!$G$2:$G$57+공격력),(Master!$A$2:$A$57=$B110)*Master!$H$2:$H$57,(Master!$A$2:$A$57=$B110)*Master!$D$2:$D$57,(Master!$A$2:$A$57=$B110)*OFFSET(Master!$I$2:$I$57,0,D110-1),(Master!$A$2:$A$57=$B110)*OFFSET(Master!$L$2:$L$57,0,E110-1),(Master!$A$2:$A$57=$B110)*OFFSET(Master!$O$2:$O$57,0,F110-1))</f>
        <v>5899.8846761645427</v>
      </c>
      <c r="H110" s="7">
        <f t="shared" si="3"/>
        <v>1.383</v>
      </c>
      <c r="I110" s="79">
        <v>21</v>
      </c>
      <c r="J110" s="78">
        <v>483</v>
      </c>
      <c r="K110" t="str">
        <f>VLOOKUP($B110&amp;1&amp;D110,Sheet3!$A$2:$E$221,5,0)</f>
        <v>-</v>
      </c>
      <c r="L110" t="str">
        <f>VLOOKUP($B110&amp;2&amp;E110,Sheet3!$A$2:$E$221,5,0)</f>
        <v>수속성, 2타 적중시 동결, 쿨 6초 증가</v>
      </c>
      <c r="M110" t="str">
        <f>VLOOKUP($B110&amp;3&amp;F110,Sheet3!$A$2:$E$221,5,0)</f>
        <v>-</v>
      </c>
      <c r="N110">
        <v>5.1820000000000004</v>
      </c>
      <c r="O110">
        <v>6.5650000000000004</v>
      </c>
    </row>
    <row r="111" spans="1:15">
      <c r="A111" t="str">
        <f t="shared" si="2"/>
        <v>붕천10112</v>
      </c>
      <c r="B111" s="16" t="s">
        <v>24</v>
      </c>
      <c r="C111" s="16">
        <v>10</v>
      </c>
      <c r="D111" s="16">
        <v>1</v>
      </c>
      <c r="E111" s="16">
        <v>1</v>
      </c>
      <c r="F111" s="16">
        <v>2</v>
      </c>
      <c r="G111" s="1">
        <f ca="1">SUMPRODUCT((Master!$A$2:$A$57=$B111)*(Master!$G$2:$G$57+공격력),(Master!$A$2:$A$57=$B111)*Master!$H$2:$H$57,(Master!$A$2:$A$57=$B111)*Master!$D$2:$D$57,(Master!$A$2:$A$57=$B111)*OFFSET(Master!$I$2:$I$57,0,D111-1),(Master!$A$2:$A$57=$B111)*OFFSET(Master!$L$2:$L$57,0,E111-1),(Master!$A$2:$A$57=$B111)*OFFSET(Master!$O$2:$O$57,0,F111-1))</f>
        <v>2356.2307692307691</v>
      </c>
      <c r="H111" s="7">
        <f t="shared" si="3"/>
        <v>0.88200000000000056</v>
      </c>
      <c r="I111" s="79">
        <v>25</v>
      </c>
      <c r="J111" s="78">
        <v>513</v>
      </c>
      <c r="K111" t="str">
        <f>VLOOKUP($B111&amp;1&amp;D111,Sheet3!$A$2:$E$221,5,0)</f>
        <v>-</v>
      </c>
      <c r="L111" t="str">
        <f>VLOOKUP($B111&amp;2&amp;E111,Sheet3!$A$2:$E$221,5,0)</f>
        <v>수속성, 2타 적중시 동결, 쿨 6초 증가</v>
      </c>
      <c r="M111" t="str">
        <f>VLOOKUP($B111&amp;3&amp;F111,Sheet3!$A$2:$E$221,5,0)</f>
        <v>버블수급 200%증가</v>
      </c>
      <c r="N111">
        <v>7.0659999999999998</v>
      </c>
      <c r="O111">
        <v>7.9480000000000004</v>
      </c>
    </row>
    <row r="112" spans="1:15">
      <c r="A112" t="str">
        <f t="shared" si="2"/>
        <v>붕천10121</v>
      </c>
      <c r="B112" s="16" t="s">
        <v>24</v>
      </c>
      <c r="C112" s="16">
        <v>10</v>
      </c>
      <c r="D112" s="16">
        <v>1</v>
      </c>
      <c r="E112" s="16">
        <v>2</v>
      </c>
      <c r="F112" s="16">
        <v>1</v>
      </c>
      <c r="G112" s="1">
        <f ca="1">SUMPRODUCT((Master!$A$2:$A$57=$B112)*(Master!$G$2:$G$57+공격력),(Master!$A$2:$A$57=$B112)*Master!$H$2:$H$57,(Master!$A$2:$A$57=$B112)*Master!$D$2:$D$57,(Master!$A$2:$A$57=$B112)*OFFSET(Master!$I$2:$I$57,0,D112-1),(Master!$A$2:$A$57=$B112)*OFFSET(Master!$L$2:$L$57,0,E112-1),(Master!$A$2:$A$57=$B112)*OFFSET(Master!$O$2:$O$57,0,F112-1))</f>
        <v>5899.8846761645427</v>
      </c>
      <c r="H112" s="7">
        <f t="shared" si="3"/>
        <v>1.383</v>
      </c>
      <c r="I112" s="79">
        <v>21</v>
      </c>
      <c r="J112" s="78">
        <v>483</v>
      </c>
      <c r="K112" t="str">
        <f>VLOOKUP($B112&amp;1&amp;D112,Sheet3!$A$2:$E$221,5,0)</f>
        <v>-</v>
      </c>
      <c r="L112" t="str">
        <f>VLOOKUP($B112&amp;2&amp;E112,Sheet3!$A$2:$E$221,5,0)</f>
        <v>공격범위 20% 증가</v>
      </c>
      <c r="M112" t="str">
        <f>VLOOKUP($B112&amp;3&amp;F112,Sheet3!$A$2:$E$221,5,0)</f>
        <v>-</v>
      </c>
      <c r="N112">
        <v>5.1820000000000004</v>
      </c>
      <c r="O112">
        <v>6.5650000000000004</v>
      </c>
    </row>
    <row r="113" spans="1:15">
      <c r="A113" t="str">
        <f t="shared" si="2"/>
        <v>붕천10122</v>
      </c>
      <c r="B113" s="16" t="s">
        <v>24</v>
      </c>
      <c r="C113" s="16">
        <v>10</v>
      </c>
      <c r="D113" s="16">
        <v>1</v>
      </c>
      <c r="E113" s="16">
        <v>2</v>
      </c>
      <c r="F113" s="16">
        <v>2</v>
      </c>
      <c r="G113" s="1">
        <f ca="1">SUMPRODUCT((Master!$A$2:$A$57=$B113)*(Master!$G$2:$G$57+공격력),(Master!$A$2:$A$57=$B113)*Master!$H$2:$H$57,(Master!$A$2:$A$57=$B113)*Master!$D$2:$D$57,(Master!$A$2:$A$57=$B113)*OFFSET(Master!$I$2:$I$57,0,D113-1),(Master!$A$2:$A$57=$B113)*OFFSET(Master!$L$2:$L$57,0,E113-1),(Master!$A$2:$A$57=$B113)*OFFSET(Master!$O$2:$O$57,0,F113-1))</f>
        <v>2356.2307692307691</v>
      </c>
      <c r="H113" s="7">
        <f t="shared" si="3"/>
        <v>0.88200000000000056</v>
      </c>
      <c r="I113" s="79">
        <v>25</v>
      </c>
      <c r="J113" s="78">
        <v>513</v>
      </c>
      <c r="K113" t="str">
        <f>VLOOKUP($B113&amp;1&amp;D113,Sheet3!$A$2:$E$221,5,0)</f>
        <v>-</v>
      </c>
      <c r="L113" t="str">
        <f>VLOOKUP($B113&amp;2&amp;E113,Sheet3!$A$2:$E$221,5,0)</f>
        <v>공격범위 20% 증가</v>
      </c>
      <c r="M113" t="str">
        <f>VLOOKUP($B113&amp;3&amp;F113,Sheet3!$A$2:$E$221,5,0)</f>
        <v>버블수급 200%증가</v>
      </c>
      <c r="N113">
        <v>7.0659999999999998</v>
      </c>
      <c r="O113">
        <v>7.9480000000000004</v>
      </c>
    </row>
    <row r="114" spans="1:15">
      <c r="A114" t="str">
        <f t="shared" si="2"/>
        <v>붕천10131</v>
      </c>
      <c r="B114" s="16" t="s">
        <v>24</v>
      </c>
      <c r="C114" s="16">
        <v>10</v>
      </c>
      <c r="D114" s="16">
        <v>1</v>
      </c>
      <c r="E114" s="16">
        <v>3</v>
      </c>
      <c r="F114" s="16">
        <v>1</v>
      </c>
      <c r="G114" s="1">
        <f ca="1">SUMPRODUCT((Master!$A$2:$A$57=$B114)*(Master!$G$2:$G$57+공격력),(Master!$A$2:$A$57=$B114)*Master!$H$2:$H$57,(Master!$A$2:$A$57=$B114)*Master!$D$2:$D$57,(Master!$A$2:$A$57=$B114)*OFFSET(Master!$I$2:$I$57,0,D114-1),(Master!$A$2:$A$57=$B114)*OFFSET(Master!$L$2:$L$57,0,E114-1),(Master!$A$2:$A$57=$B114)*OFFSET(Master!$O$2:$O$57,0,F114-1))</f>
        <v>5899.8846761645427</v>
      </c>
      <c r="H114" s="7">
        <f t="shared" si="3"/>
        <v>1.383</v>
      </c>
      <c r="I114" s="79">
        <v>21</v>
      </c>
      <c r="J114" s="78">
        <v>483</v>
      </c>
      <c r="K114" t="str">
        <f>VLOOKUP($B114&amp;1&amp;D114,Sheet3!$A$2:$E$221,5,0)</f>
        <v>-</v>
      </c>
      <c r="L114" t="str">
        <f>VLOOKUP($B114&amp;2&amp;E114,Sheet3!$A$2:$E$221,5,0)</f>
        <v>2타 적중시 뎀증 15% 3초</v>
      </c>
      <c r="M114" t="str">
        <f>VLOOKUP($B114&amp;3&amp;F114,Sheet3!$A$2:$E$221,5,0)</f>
        <v>-</v>
      </c>
      <c r="N114">
        <v>5.1820000000000004</v>
      </c>
      <c r="O114">
        <v>6.5650000000000004</v>
      </c>
    </row>
    <row r="115" spans="1:15">
      <c r="A115" t="str">
        <f t="shared" si="2"/>
        <v>붕천10132</v>
      </c>
      <c r="B115" s="16" t="s">
        <v>24</v>
      </c>
      <c r="C115" s="16">
        <v>10</v>
      </c>
      <c r="D115" s="16">
        <v>1</v>
      </c>
      <c r="E115" s="16">
        <v>3</v>
      </c>
      <c r="F115" s="16">
        <v>2</v>
      </c>
      <c r="G115" s="1">
        <f ca="1">SUMPRODUCT((Master!$A$2:$A$57=$B115)*(Master!$G$2:$G$57+공격력),(Master!$A$2:$A$57=$B115)*Master!$H$2:$H$57,(Master!$A$2:$A$57=$B115)*Master!$D$2:$D$57,(Master!$A$2:$A$57=$B115)*OFFSET(Master!$I$2:$I$57,0,D115-1),(Master!$A$2:$A$57=$B115)*OFFSET(Master!$L$2:$L$57,0,E115-1),(Master!$A$2:$A$57=$B115)*OFFSET(Master!$O$2:$O$57,0,F115-1))</f>
        <v>2356.2307692307691</v>
      </c>
      <c r="H115" s="7">
        <f t="shared" si="3"/>
        <v>0.88200000000000056</v>
      </c>
      <c r="I115" s="79">
        <v>25</v>
      </c>
      <c r="J115" s="78">
        <v>513</v>
      </c>
      <c r="K115" t="str">
        <f>VLOOKUP($B115&amp;1&amp;D115,Sheet3!$A$2:$E$221,5,0)</f>
        <v>-</v>
      </c>
      <c r="L115" t="str">
        <f>VLOOKUP($B115&amp;2&amp;E115,Sheet3!$A$2:$E$221,5,0)</f>
        <v>2타 적중시 뎀증 15% 3초</v>
      </c>
      <c r="M115" t="str">
        <f>VLOOKUP($B115&amp;3&amp;F115,Sheet3!$A$2:$E$221,5,0)</f>
        <v>버블수급 200%증가</v>
      </c>
      <c r="N115">
        <v>7.0659999999999998</v>
      </c>
      <c r="O115">
        <v>7.9480000000000004</v>
      </c>
    </row>
    <row r="116" spans="1:15">
      <c r="A116" t="str">
        <f t="shared" si="2"/>
        <v>붕천10211</v>
      </c>
      <c r="B116" s="16" t="s">
        <v>24</v>
      </c>
      <c r="C116" s="16">
        <v>10</v>
      </c>
      <c r="D116" s="16">
        <v>2</v>
      </c>
      <c r="E116" s="16">
        <v>1</v>
      </c>
      <c r="F116" s="16">
        <v>1</v>
      </c>
      <c r="G116" s="1">
        <f ca="1">SUMPRODUCT((Master!$A$2:$A$57=$B116)*(Master!$G$2:$G$57+공격력),(Master!$A$2:$A$57=$B116)*Master!$H$2:$H$57,(Master!$A$2:$A$57=$B116)*Master!$D$2:$D$57,(Master!$A$2:$A$57=$B116)*OFFSET(Master!$I$2:$I$57,0,D116-1),(Master!$A$2:$A$57=$B116)*OFFSET(Master!$L$2:$L$57,0,E116-1),(Master!$A$2:$A$57=$B116)*OFFSET(Master!$O$2:$O$57,0,F116-1))</f>
        <v>5899.8846761645427</v>
      </c>
      <c r="H116" s="7">
        <f t="shared" si="3"/>
        <v>1.383</v>
      </c>
      <c r="I116" s="79">
        <v>21</v>
      </c>
      <c r="J116" s="78">
        <v>483</v>
      </c>
      <c r="K116" t="str">
        <f>VLOOKUP($B116&amp;1&amp;D116,Sheet3!$A$2:$E$221,5,0)</f>
        <v>2타 피격 체공시간 증가</v>
      </c>
      <c r="L116" t="str">
        <f>VLOOKUP($B116&amp;2&amp;E116,Sheet3!$A$2:$E$221,5,0)</f>
        <v>수속성, 2타 적중시 동결, 쿨 6초 증가</v>
      </c>
      <c r="M116" t="str">
        <f>VLOOKUP($B116&amp;3&amp;F116,Sheet3!$A$2:$E$221,5,0)</f>
        <v>-</v>
      </c>
      <c r="N116">
        <v>5.1820000000000004</v>
      </c>
      <c r="O116">
        <v>6.5650000000000004</v>
      </c>
    </row>
    <row r="117" spans="1:15">
      <c r="A117" t="str">
        <f t="shared" si="2"/>
        <v>붕천10212</v>
      </c>
      <c r="B117" s="16" t="s">
        <v>24</v>
      </c>
      <c r="C117" s="16">
        <v>10</v>
      </c>
      <c r="D117" s="16">
        <v>2</v>
      </c>
      <c r="E117" s="16">
        <v>1</v>
      </c>
      <c r="F117" s="16">
        <v>2</v>
      </c>
      <c r="G117" s="1">
        <f ca="1">SUMPRODUCT((Master!$A$2:$A$57=$B117)*(Master!$G$2:$G$57+공격력),(Master!$A$2:$A$57=$B117)*Master!$H$2:$H$57,(Master!$A$2:$A$57=$B117)*Master!$D$2:$D$57,(Master!$A$2:$A$57=$B117)*OFFSET(Master!$I$2:$I$57,0,D117-1),(Master!$A$2:$A$57=$B117)*OFFSET(Master!$L$2:$L$57,0,E117-1),(Master!$A$2:$A$57=$B117)*OFFSET(Master!$O$2:$O$57,0,F117-1))</f>
        <v>2356.2307692307691</v>
      </c>
      <c r="H117" s="7">
        <f t="shared" si="3"/>
        <v>0.88200000000000056</v>
      </c>
      <c r="I117" s="79">
        <v>25</v>
      </c>
      <c r="J117" s="78">
        <v>513</v>
      </c>
      <c r="K117" t="str">
        <f>VLOOKUP($B117&amp;1&amp;D117,Sheet3!$A$2:$E$221,5,0)</f>
        <v>2타 피격 체공시간 증가</v>
      </c>
      <c r="L117" t="str">
        <f>VLOOKUP($B117&amp;2&amp;E117,Sheet3!$A$2:$E$221,5,0)</f>
        <v>수속성, 2타 적중시 동결, 쿨 6초 증가</v>
      </c>
      <c r="M117" t="str">
        <f>VLOOKUP($B117&amp;3&amp;F117,Sheet3!$A$2:$E$221,5,0)</f>
        <v>버블수급 200%증가</v>
      </c>
      <c r="N117">
        <v>7.0659999999999998</v>
      </c>
      <c r="O117">
        <v>7.9480000000000004</v>
      </c>
    </row>
    <row r="118" spans="1:15">
      <c r="A118" t="str">
        <f t="shared" si="2"/>
        <v>붕천10221</v>
      </c>
      <c r="B118" s="16" t="s">
        <v>24</v>
      </c>
      <c r="C118" s="16">
        <v>10</v>
      </c>
      <c r="D118" s="16">
        <v>2</v>
      </c>
      <c r="E118" s="16">
        <v>2</v>
      </c>
      <c r="F118" s="16">
        <v>1</v>
      </c>
      <c r="G118" s="1">
        <f ca="1">SUMPRODUCT((Master!$A$2:$A$57=$B118)*(Master!$G$2:$G$57+공격력),(Master!$A$2:$A$57=$B118)*Master!$H$2:$H$57,(Master!$A$2:$A$57=$B118)*Master!$D$2:$D$57,(Master!$A$2:$A$57=$B118)*OFFSET(Master!$I$2:$I$57,0,D118-1),(Master!$A$2:$A$57=$B118)*OFFSET(Master!$L$2:$L$57,0,E118-1),(Master!$A$2:$A$57=$B118)*OFFSET(Master!$O$2:$O$57,0,F118-1))</f>
        <v>5899.8846761645427</v>
      </c>
      <c r="H118" s="7">
        <f t="shared" si="3"/>
        <v>1.383</v>
      </c>
      <c r="I118" s="79">
        <v>21</v>
      </c>
      <c r="J118" s="78">
        <v>483</v>
      </c>
      <c r="K118" t="str">
        <f>VLOOKUP($B118&amp;1&amp;D118,Sheet3!$A$2:$E$221,5,0)</f>
        <v>2타 피격 체공시간 증가</v>
      </c>
      <c r="L118" t="str">
        <f>VLOOKUP($B118&amp;2&amp;E118,Sheet3!$A$2:$E$221,5,0)</f>
        <v>공격범위 20% 증가</v>
      </c>
      <c r="M118" t="str">
        <f>VLOOKUP($B118&amp;3&amp;F118,Sheet3!$A$2:$E$221,5,0)</f>
        <v>-</v>
      </c>
      <c r="N118">
        <v>5.1820000000000004</v>
      </c>
      <c r="O118">
        <v>6.5650000000000004</v>
      </c>
    </row>
    <row r="119" spans="1:15">
      <c r="A119" t="str">
        <f t="shared" si="2"/>
        <v>붕천10222</v>
      </c>
      <c r="B119" s="16" t="s">
        <v>24</v>
      </c>
      <c r="C119" s="16">
        <v>10</v>
      </c>
      <c r="D119" s="16">
        <v>2</v>
      </c>
      <c r="E119" s="16">
        <v>2</v>
      </c>
      <c r="F119" s="16">
        <v>2</v>
      </c>
      <c r="G119" s="1">
        <f ca="1">SUMPRODUCT((Master!$A$2:$A$57=$B119)*(Master!$G$2:$G$57+공격력),(Master!$A$2:$A$57=$B119)*Master!$H$2:$H$57,(Master!$A$2:$A$57=$B119)*Master!$D$2:$D$57,(Master!$A$2:$A$57=$B119)*OFFSET(Master!$I$2:$I$57,0,D119-1),(Master!$A$2:$A$57=$B119)*OFFSET(Master!$L$2:$L$57,0,E119-1),(Master!$A$2:$A$57=$B119)*OFFSET(Master!$O$2:$O$57,0,F119-1))</f>
        <v>2356.2307692307691</v>
      </c>
      <c r="H119" s="7">
        <f t="shared" si="3"/>
        <v>0.88200000000000056</v>
      </c>
      <c r="I119" s="79">
        <v>25</v>
      </c>
      <c r="J119" s="78">
        <v>513</v>
      </c>
      <c r="K119" t="str">
        <f>VLOOKUP($B119&amp;1&amp;D119,Sheet3!$A$2:$E$221,5,0)</f>
        <v>2타 피격 체공시간 증가</v>
      </c>
      <c r="L119" t="str">
        <f>VLOOKUP($B119&amp;2&amp;E119,Sheet3!$A$2:$E$221,5,0)</f>
        <v>공격범위 20% 증가</v>
      </c>
      <c r="M119" t="str">
        <f>VLOOKUP($B119&amp;3&amp;F119,Sheet3!$A$2:$E$221,5,0)</f>
        <v>버블수급 200%증가</v>
      </c>
      <c r="N119">
        <v>7.0659999999999998</v>
      </c>
      <c r="O119">
        <v>7.9480000000000004</v>
      </c>
    </row>
    <row r="120" spans="1:15">
      <c r="A120" t="str">
        <f t="shared" si="2"/>
        <v>붕천10231</v>
      </c>
      <c r="B120" s="16" t="s">
        <v>24</v>
      </c>
      <c r="C120" s="16">
        <v>10</v>
      </c>
      <c r="D120" s="16">
        <v>2</v>
      </c>
      <c r="E120" s="16">
        <v>3</v>
      </c>
      <c r="F120" s="16">
        <v>1</v>
      </c>
      <c r="G120" s="1">
        <f ca="1">SUMPRODUCT((Master!$A$2:$A$57=$B120)*(Master!$G$2:$G$57+공격력),(Master!$A$2:$A$57=$B120)*Master!$H$2:$H$57,(Master!$A$2:$A$57=$B120)*Master!$D$2:$D$57,(Master!$A$2:$A$57=$B120)*OFFSET(Master!$I$2:$I$57,0,D120-1),(Master!$A$2:$A$57=$B120)*OFFSET(Master!$L$2:$L$57,0,E120-1),(Master!$A$2:$A$57=$B120)*OFFSET(Master!$O$2:$O$57,0,F120-1))</f>
        <v>5899.8846761645427</v>
      </c>
      <c r="H120" s="7">
        <f t="shared" si="3"/>
        <v>1.383</v>
      </c>
      <c r="I120" s="79">
        <v>21</v>
      </c>
      <c r="J120" s="78">
        <v>483</v>
      </c>
      <c r="K120" t="str">
        <f>VLOOKUP($B120&amp;1&amp;D120,Sheet3!$A$2:$E$221,5,0)</f>
        <v>2타 피격 체공시간 증가</v>
      </c>
      <c r="L120" t="str">
        <f>VLOOKUP($B120&amp;2&amp;E120,Sheet3!$A$2:$E$221,5,0)</f>
        <v>2타 적중시 뎀증 15% 3초</v>
      </c>
      <c r="M120" t="str">
        <f>VLOOKUP($B120&amp;3&amp;F120,Sheet3!$A$2:$E$221,5,0)</f>
        <v>-</v>
      </c>
      <c r="N120">
        <v>5.1820000000000004</v>
      </c>
      <c r="O120">
        <v>6.5650000000000004</v>
      </c>
    </row>
    <row r="121" spans="1:15">
      <c r="A121" t="str">
        <f t="shared" si="2"/>
        <v>붕천10232</v>
      </c>
      <c r="B121" s="16" t="s">
        <v>24</v>
      </c>
      <c r="C121" s="16">
        <v>10</v>
      </c>
      <c r="D121" s="16">
        <v>2</v>
      </c>
      <c r="E121" s="16">
        <v>3</v>
      </c>
      <c r="F121" s="16">
        <v>2</v>
      </c>
      <c r="G121" s="1">
        <f ca="1">SUMPRODUCT((Master!$A$2:$A$57=$B121)*(Master!$G$2:$G$57+공격력),(Master!$A$2:$A$57=$B121)*Master!$H$2:$H$57,(Master!$A$2:$A$57=$B121)*Master!$D$2:$D$57,(Master!$A$2:$A$57=$B121)*OFFSET(Master!$I$2:$I$57,0,D121-1),(Master!$A$2:$A$57=$B121)*OFFSET(Master!$L$2:$L$57,0,E121-1),(Master!$A$2:$A$57=$B121)*OFFSET(Master!$O$2:$O$57,0,F121-1))</f>
        <v>2356.2307692307691</v>
      </c>
      <c r="H121" s="7">
        <f t="shared" si="3"/>
        <v>0.88200000000000056</v>
      </c>
      <c r="I121" s="79">
        <v>25</v>
      </c>
      <c r="J121" s="78">
        <v>513</v>
      </c>
      <c r="K121" t="str">
        <f>VLOOKUP($B121&amp;1&amp;D121,Sheet3!$A$2:$E$221,5,0)</f>
        <v>2타 피격 체공시간 증가</v>
      </c>
      <c r="L121" t="str">
        <f>VLOOKUP($B121&amp;2&amp;E121,Sheet3!$A$2:$E$221,5,0)</f>
        <v>2타 적중시 뎀증 15% 3초</v>
      </c>
      <c r="M121" t="str">
        <f>VLOOKUP($B121&amp;3&amp;F121,Sheet3!$A$2:$E$221,5,0)</f>
        <v>버블수급 200%증가</v>
      </c>
      <c r="N121">
        <v>7.0659999999999998</v>
      </c>
      <c r="O121">
        <v>7.9480000000000004</v>
      </c>
    </row>
    <row r="122" spans="1:15">
      <c r="A122" t="str">
        <f t="shared" si="2"/>
        <v>붕천10311</v>
      </c>
      <c r="B122" s="16" t="s">
        <v>24</v>
      </c>
      <c r="C122" s="16">
        <v>10</v>
      </c>
      <c r="D122" s="16">
        <v>3</v>
      </c>
      <c r="E122" s="16">
        <v>1</v>
      </c>
      <c r="F122" s="16">
        <v>1</v>
      </c>
      <c r="G122" s="1">
        <f ca="1">SUMPRODUCT((Master!$A$2:$A$57=$B122)*(Master!$G$2:$G$57+공격력),(Master!$A$2:$A$57=$B122)*Master!$H$2:$H$57,(Master!$A$2:$A$57=$B122)*Master!$D$2:$D$57,(Master!$A$2:$A$57=$B122)*OFFSET(Master!$I$2:$I$57,0,D122-1),(Master!$A$2:$A$57=$B122)*OFFSET(Master!$L$2:$L$57,0,E122-1),(Master!$A$2:$A$57=$B122)*OFFSET(Master!$O$2:$O$57,0,F122-1))</f>
        <v>5899.8846761645427</v>
      </c>
      <c r="H122" s="7">
        <f t="shared" si="3"/>
        <v>1.383</v>
      </c>
      <c r="I122" s="79">
        <v>21</v>
      </c>
      <c r="J122" s="78">
        <v>483</v>
      </c>
      <c r="K122" t="str">
        <f>VLOOKUP($B122&amp;1&amp;D122,Sheet3!$A$2:$E$221,5,0)</f>
        <v>공속 20% 증가</v>
      </c>
      <c r="L122" t="str">
        <f>VLOOKUP($B122&amp;2&amp;E122,Sheet3!$A$2:$E$221,5,0)</f>
        <v>수속성, 2타 적중시 동결, 쿨 6초 증가</v>
      </c>
      <c r="M122" t="str">
        <f>VLOOKUP($B122&amp;3&amp;F122,Sheet3!$A$2:$E$221,5,0)</f>
        <v>-</v>
      </c>
      <c r="N122">
        <v>5.1820000000000004</v>
      </c>
      <c r="O122">
        <v>6.5650000000000004</v>
      </c>
    </row>
    <row r="123" spans="1:15">
      <c r="A123" t="str">
        <f t="shared" si="2"/>
        <v>붕천10312</v>
      </c>
      <c r="B123" s="16" t="s">
        <v>24</v>
      </c>
      <c r="C123" s="16">
        <v>10</v>
      </c>
      <c r="D123" s="16">
        <v>3</v>
      </c>
      <c r="E123" s="16">
        <v>1</v>
      </c>
      <c r="F123" s="16">
        <v>2</v>
      </c>
      <c r="G123" s="1">
        <f ca="1">SUMPRODUCT((Master!$A$2:$A$57=$B123)*(Master!$G$2:$G$57+공격력),(Master!$A$2:$A$57=$B123)*Master!$H$2:$H$57,(Master!$A$2:$A$57=$B123)*Master!$D$2:$D$57,(Master!$A$2:$A$57=$B123)*OFFSET(Master!$I$2:$I$57,0,D123-1),(Master!$A$2:$A$57=$B123)*OFFSET(Master!$L$2:$L$57,0,E123-1),(Master!$A$2:$A$57=$B123)*OFFSET(Master!$O$2:$O$57,0,F123-1))</f>
        <v>2356.2307692307691</v>
      </c>
      <c r="H123" s="7">
        <f t="shared" si="3"/>
        <v>0.88200000000000056</v>
      </c>
      <c r="I123" s="79">
        <v>25</v>
      </c>
      <c r="J123" s="78">
        <v>513</v>
      </c>
      <c r="K123" t="str">
        <f>VLOOKUP($B123&amp;1&amp;D123,Sheet3!$A$2:$E$221,5,0)</f>
        <v>공속 20% 증가</v>
      </c>
      <c r="L123" t="str">
        <f>VLOOKUP($B123&amp;2&amp;E123,Sheet3!$A$2:$E$221,5,0)</f>
        <v>수속성, 2타 적중시 동결, 쿨 6초 증가</v>
      </c>
      <c r="M123" t="str">
        <f>VLOOKUP($B123&amp;3&amp;F123,Sheet3!$A$2:$E$221,5,0)</f>
        <v>버블수급 200%증가</v>
      </c>
      <c r="N123">
        <v>7.0659999999999998</v>
      </c>
      <c r="O123">
        <v>7.9480000000000004</v>
      </c>
    </row>
    <row r="124" spans="1:15">
      <c r="A124" t="str">
        <f t="shared" si="2"/>
        <v>붕천10321</v>
      </c>
      <c r="B124" s="16" t="s">
        <v>24</v>
      </c>
      <c r="C124" s="16">
        <v>10</v>
      </c>
      <c r="D124" s="16">
        <v>3</v>
      </c>
      <c r="E124" s="16">
        <v>2</v>
      </c>
      <c r="F124" s="16">
        <v>1</v>
      </c>
      <c r="G124" s="1">
        <f ca="1">SUMPRODUCT((Master!$A$2:$A$57=$B124)*(Master!$G$2:$G$57+공격력),(Master!$A$2:$A$57=$B124)*Master!$H$2:$H$57,(Master!$A$2:$A$57=$B124)*Master!$D$2:$D$57,(Master!$A$2:$A$57=$B124)*OFFSET(Master!$I$2:$I$57,0,D124-1),(Master!$A$2:$A$57=$B124)*OFFSET(Master!$L$2:$L$57,0,E124-1),(Master!$A$2:$A$57=$B124)*OFFSET(Master!$O$2:$O$57,0,F124-1))</f>
        <v>5899.8846761645427</v>
      </c>
      <c r="H124" s="7">
        <f t="shared" si="3"/>
        <v>1.383</v>
      </c>
      <c r="I124" s="79">
        <v>21</v>
      </c>
      <c r="J124" s="78">
        <v>483</v>
      </c>
      <c r="K124" t="str">
        <f>VLOOKUP($B124&amp;1&amp;D124,Sheet3!$A$2:$E$221,5,0)</f>
        <v>공속 20% 증가</v>
      </c>
      <c r="L124" t="str">
        <f>VLOOKUP($B124&amp;2&amp;E124,Sheet3!$A$2:$E$221,5,0)</f>
        <v>공격범위 20% 증가</v>
      </c>
      <c r="M124" t="str">
        <f>VLOOKUP($B124&amp;3&amp;F124,Sheet3!$A$2:$E$221,5,0)</f>
        <v>-</v>
      </c>
      <c r="N124">
        <v>5.1820000000000004</v>
      </c>
      <c r="O124">
        <v>6.5650000000000004</v>
      </c>
    </row>
    <row r="125" spans="1:15">
      <c r="A125" t="str">
        <f t="shared" si="2"/>
        <v>붕천10322</v>
      </c>
      <c r="B125" s="16" t="s">
        <v>24</v>
      </c>
      <c r="C125" s="16">
        <v>10</v>
      </c>
      <c r="D125" s="16">
        <v>3</v>
      </c>
      <c r="E125" s="16">
        <v>2</v>
      </c>
      <c r="F125" s="16">
        <v>2</v>
      </c>
      <c r="G125" s="1">
        <f ca="1">SUMPRODUCT((Master!$A$2:$A$57=$B125)*(Master!$G$2:$G$57+공격력),(Master!$A$2:$A$57=$B125)*Master!$H$2:$H$57,(Master!$A$2:$A$57=$B125)*Master!$D$2:$D$57,(Master!$A$2:$A$57=$B125)*OFFSET(Master!$I$2:$I$57,0,D125-1),(Master!$A$2:$A$57=$B125)*OFFSET(Master!$L$2:$L$57,0,E125-1),(Master!$A$2:$A$57=$B125)*OFFSET(Master!$O$2:$O$57,0,F125-1))</f>
        <v>2356.2307692307691</v>
      </c>
      <c r="H125" s="7">
        <f t="shared" si="3"/>
        <v>0.88200000000000056</v>
      </c>
      <c r="I125" s="79">
        <v>25</v>
      </c>
      <c r="J125" s="78">
        <v>513</v>
      </c>
      <c r="K125" t="str">
        <f>VLOOKUP($B125&amp;1&amp;D125,Sheet3!$A$2:$E$221,5,0)</f>
        <v>공속 20% 증가</v>
      </c>
      <c r="L125" t="str">
        <f>VLOOKUP($B125&amp;2&amp;E125,Sheet3!$A$2:$E$221,5,0)</f>
        <v>공격범위 20% 증가</v>
      </c>
      <c r="M125" t="str">
        <f>VLOOKUP($B125&amp;3&amp;F125,Sheet3!$A$2:$E$221,5,0)</f>
        <v>버블수급 200%증가</v>
      </c>
      <c r="N125">
        <v>7.0659999999999998</v>
      </c>
      <c r="O125">
        <v>7.9480000000000004</v>
      </c>
    </row>
    <row r="126" spans="1:15">
      <c r="A126" t="str">
        <f t="shared" si="2"/>
        <v>붕천10331</v>
      </c>
      <c r="B126" s="16" t="s">
        <v>24</v>
      </c>
      <c r="C126" s="16">
        <v>10</v>
      </c>
      <c r="D126" s="16">
        <v>3</v>
      </c>
      <c r="E126" s="16">
        <v>3</v>
      </c>
      <c r="F126" s="16">
        <v>1</v>
      </c>
      <c r="G126" s="1">
        <f ca="1">SUMPRODUCT((Master!$A$2:$A$57=$B126)*(Master!$G$2:$G$57+공격력),(Master!$A$2:$A$57=$B126)*Master!$H$2:$H$57,(Master!$A$2:$A$57=$B126)*Master!$D$2:$D$57,(Master!$A$2:$A$57=$B126)*OFFSET(Master!$I$2:$I$57,0,D126-1),(Master!$A$2:$A$57=$B126)*OFFSET(Master!$L$2:$L$57,0,E126-1),(Master!$A$2:$A$57=$B126)*OFFSET(Master!$O$2:$O$57,0,F126-1))</f>
        <v>5899.8846761645427</v>
      </c>
      <c r="H126" s="7">
        <f t="shared" si="3"/>
        <v>1.383</v>
      </c>
      <c r="I126" s="79">
        <v>21</v>
      </c>
      <c r="J126" s="78">
        <v>483</v>
      </c>
      <c r="K126" t="str">
        <f>VLOOKUP($B126&amp;1&amp;D126,Sheet3!$A$2:$E$221,5,0)</f>
        <v>공속 20% 증가</v>
      </c>
      <c r="L126" t="str">
        <f>VLOOKUP($B126&amp;2&amp;E126,Sheet3!$A$2:$E$221,5,0)</f>
        <v>2타 적중시 뎀증 15% 3초</v>
      </c>
      <c r="M126" t="str">
        <f>VLOOKUP($B126&amp;3&amp;F126,Sheet3!$A$2:$E$221,5,0)</f>
        <v>-</v>
      </c>
      <c r="N126">
        <v>5.1820000000000004</v>
      </c>
      <c r="O126">
        <v>6.5650000000000004</v>
      </c>
    </row>
    <row r="127" spans="1:15">
      <c r="A127" t="str">
        <f t="shared" si="2"/>
        <v>붕천10332</v>
      </c>
      <c r="B127" s="16" t="s">
        <v>24</v>
      </c>
      <c r="C127" s="16">
        <v>10</v>
      </c>
      <c r="D127" s="16">
        <v>3</v>
      </c>
      <c r="E127" s="16">
        <v>3</v>
      </c>
      <c r="F127" s="16">
        <v>2</v>
      </c>
      <c r="G127" s="1">
        <f ca="1">SUMPRODUCT((Master!$A$2:$A$57=$B127)*(Master!$G$2:$G$57+공격력),(Master!$A$2:$A$57=$B127)*Master!$H$2:$H$57,(Master!$A$2:$A$57=$B127)*Master!$D$2:$D$57,(Master!$A$2:$A$57=$B127)*OFFSET(Master!$I$2:$I$57,0,D127-1),(Master!$A$2:$A$57=$B127)*OFFSET(Master!$L$2:$L$57,0,E127-1),(Master!$A$2:$A$57=$B127)*OFFSET(Master!$O$2:$O$57,0,F127-1))</f>
        <v>2356.2307692307691</v>
      </c>
      <c r="H127" s="7">
        <f t="shared" si="3"/>
        <v>0.88200000000000056</v>
      </c>
      <c r="I127" s="79">
        <v>25</v>
      </c>
      <c r="J127" s="78">
        <v>513</v>
      </c>
      <c r="K127" t="str">
        <f>VLOOKUP($B127&amp;1&amp;D127,Sheet3!$A$2:$E$221,5,0)</f>
        <v>공속 20% 증가</v>
      </c>
      <c r="L127" t="str">
        <f>VLOOKUP($B127&amp;2&amp;E127,Sheet3!$A$2:$E$221,5,0)</f>
        <v>2타 적중시 뎀증 15% 3초</v>
      </c>
      <c r="M127" t="str">
        <f>VLOOKUP($B127&amp;3&amp;F127,Sheet3!$A$2:$E$221,5,0)</f>
        <v>버블수급 200%증가</v>
      </c>
      <c r="N127">
        <v>7.0659999999999998</v>
      </c>
      <c r="O127">
        <v>7.9480000000000004</v>
      </c>
    </row>
    <row r="128" spans="1:15">
      <c r="A128" t="str">
        <f t="shared" si="2"/>
        <v>삼연10111</v>
      </c>
      <c r="B128" s="16" t="s">
        <v>23</v>
      </c>
      <c r="C128" s="16">
        <v>10</v>
      </c>
      <c r="D128" s="16">
        <v>1</v>
      </c>
      <c r="E128" s="16">
        <v>1</v>
      </c>
      <c r="F128" s="16">
        <v>1</v>
      </c>
      <c r="G128" s="1">
        <f ca="1">SUMPRODUCT((Master!$A$2:$A$57=$B128)*(Master!$G$2:$G$57+공격력),(Master!$A$2:$A$57=$B128)*Master!$H$2:$H$57,(Master!$A$2:$A$57=$B128)*Master!$D$2:$D$57,(Master!$A$2:$A$57=$B128)*OFFSET(Master!$I$2:$I$57,0,D128-1),(Master!$A$2:$A$57=$B128)*OFFSET(Master!$L$2:$L$57,0,E128-1),(Master!$A$2:$A$57=$B128)*OFFSET(Master!$O$2:$O$57,0,F128-1))</f>
        <v>3672.0402057071001</v>
      </c>
      <c r="H128" s="7">
        <f t="shared" si="3"/>
        <v>1.1150000000000002</v>
      </c>
      <c r="I128" s="79">
        <v>10</v>
      </c>
      <c r="J128" s="78">
        <v>513</v>
      </c>
      <c r="K128" t="str">
        <f>VLOOKUP($B128&amp;1&amp;D128,Sheet3!$A$2:$E$221,5,0)</f>
        <v>암속성, 방깍 10% 3초(계산미포함)</v>
      </c>
      <c r="L128" t="str">
        <f>VLOOKUP($B128&amp;2&amp;E128,Sheet3!$A$2:$E$221,5,0)</f>
        <v>피해감소 40%</v>
      </c>
      <c r="M128" t="str">
        <f>VLOOKUP($B128&amp;3&amp;F128,Sheet3!$A$2:$E$221,5,0)</f>
        <v>공속 20% 증가 막타만 50%뎀증</v>
      </c>
      <c r="N128">
        <v>2.9660000000000002</v>
      </c>
      <c r="O128">
        <v>4.0810000000000004</v>
      </c>
    </row>
    <row r="129" spans="1:16">
      <c r="A129" t="str">
        <f t="shared" si="2"/>
        <v>삼연10121</v>
      </c>
      <c r="B129" s="16" t="s">
        <v>23</v>
      </c>
      <c r="C129" s="16">
        <v>10</v>
      </c>
      <c r="D129" s="16">
        <v>1</v>
      </c>
      <c r="E129" s="16">
        <v>2</v>
      </c>
      <c r="F129" s="16">
        <v>1</v>
      </c>
      <c r="G129" s="1">
        <f ca="1">SUMPRODUCT((Master!$A$2:$A$57=$B129)*(Master!$G$2:$G$57+공격력),(Master!$A$2:$A$57=$B129)*Master!$H$2:$H$57,(Master!$A$2:$A$57=$B129)*Master!$D$2:$D$57,(Master!$A$2:$A$57=$B129)*OFFSET(Master!$I$2:$I$57,0,D129-1),(Master!$A$2:$A$57=$B129)*OFFSET(Master!$L$2:$L$57,0,E129-1),(Master!$A$2:$A$57=$B129)*OFFSET(Master!$O$2:$O$57,0,F129-1))</f>
        <v>5182.236493819617</v>
      </c>
      <c r="H129" s="7">
        <f t="shared" si="3"/>
        <v>1.1150000000000002</v>
      </c>
      <c r="I129" s="79">
        <v>10</v>
      </c>
      <c r="J129" s="78">
        <v>513</v>
      </c>
      <c r="K129" t="str">
        <f>VLOOKUP($B129&amp;1&amp;D129,Sheet3!$A$2:$E$221,5,0)</f>
        <v>암속성, 방깍 10% 3초(계산미포함)</v>
      </c>
      <c r="L129" t="str">
        <f>VLOOKUP($B129&amp;2&amp;E129,Sheet3!$A$2:$E$221,5,0)</f>
        <v>타격 회수당 15%씩 피해증가</v>
      </c>
      <c r="M129" t="str">
        <f>VLOOKUP($B129&amp;3&amp;F129,Sheet3!$A$2:$E$221,5,0)</f>
        <v>공속 20% 증가 막타만 50%뎀증</v>
      </c>
      <c r="N129">
        <v>2.9660000000000002</v>
      </c>
      <c r="O129">
        <v>4.0810000000000004</v>
      </c>
    </row>
    <row r="130" spans="1:16">
      <c r="A130" t="str">
        <f t="shared" ref="A130:A193" si="4">B130&amp;C130&amp;D130&amp;E130&amp;F130</f>
        <v>삼연10131</v>
      </c>
      <c r="B130" s="16" t="s">
        <v>23</v>
      </c>
      <c r="C130" s="16">
        <v>10</v>
      </c>
      <c r="D130" s="16">
        <v>1</v>
      </c>
      <c r="E130" s="16">
        <v>3</v>
      </c>
      <c r="F130" s="16">
        <v>1</v>
      </c>
      <c r="G130" s="1">
        <f ca="1">SUMPRODUCT((Master!$A$2:$A$57=$B130)*(Master!$G$2:$G$57+공격력),(Master!$A$2:$A$57=$B130)*Master!$H$2:$H$57,(Master!$A$2:$A$57=$B130)*Master!$D$2:$D$57,(Master!$A$2:$A$57=$B130)*OFFSET(Master!$I$2:$I$57,0,D130-1),(Master!$A$2:$A$57=$B130)*OFFSET(Master!$L$2:$L$57,0,E130-1),(Master!$A$2:$A$57=$B130)*OFFSET(Master!$O$2:$O$57,0,F130-1))</f>
        <v>3672.0402057071001</v>
      </c>
      <c r="H130" s="7">
        <f t="shared" ref="H130:H193" si="5">(O130-N130)</f>
        <v>1.1150000000000002</v>
      </c>
      <c r="I130" s="79">
        <v>10</v>
      </c>
      <c r="J130" s="78">
        <v>513</v>
      </c>
      <c r="K130" t="str">
        <f>VLOOKUP($B130&amp;1&amp;D130,Sheet3!$A$2:$E$221,5,0)</f>
        <v>암속성, 방깍 10% 3초(계산미포함)</v>
      </c>
      <c r="L130" t="str">
        <f>VLOOKUP($B130&amp;2&amp;E130,Sheet3!$A$2:$E$221,5,0)</f>
        <v>-</v>
      </c>
      <c r="M130" t="str">
        <f>VLOOKUP($B130&amp;3&amp;F130,Sheet3!$A$2:$E$221,5,0)</f>
        <v>공속 20% 증가 막타만 50%뎀증</v>
      </c>
      <c r="N130">
        <v>2.9660000000000002</v>
      </c>
      <c r="O130">
        <v>4.0810000000000004</v>
      </c>
    </row>
    <row r="131" spans="1:16">
      <c r="A131" t="str">
        <f t="shared" si="4"/>
        <v>삼연10211</v>
      </c>
      <c r="B131" s="16" t="s">
        <v>23</v>
      </c>
      <c r="C131" s="16">
        <v>10</v>
      </c>
      <c r="D131" s="16">
        <v>2</v>
      </c>
      <c r="E131" s="16">
        <v>1</v>
      </c>
      <c r="F131" s="16">
        <v>1</v>
      </c>
      <c r="G131" s="1">
        <f ca="1">SUMPRODUCT((Master!$A$2:$A$57=$B131)*(Master!$G$2:$G$57+공격력),(Master!$A$2:$A$57=$B131)*Master!$H$2:$H$57,(Master!$A$2:$A$57=$B131)*Master!$D$2:$D$57,(Master!$A$2:$A$57=$B131)*OFFSET(Master!$I$2:$I$57,0,D131-1),(Master!$A$2:$A$57=$B131)*OFFSET(Master!$L$2:$L$57,0,E131-1),(Master!$A$2:$A$57=$B131)*OFFSET(Master!$O$2:$O$57,0,F131-1))</f>
        <v>3672.0402057071001</v>
      </c>
      <c r="H131" s="7">
        <f t="shared" si="5"/>
        <v>1.1150000000000002</v>
      </c>
      <c r="I131" s="79">
        <v>20</v>
      </c>
      <c r="J131" s="78">
        <v>513</v>
      </c>
      <c r="K131" t="str">
        <f>VLOOKUP($B131&amp;1&amp;D131,Sheet3!$A$2:$E$221,5,0)</f>
        <v>버블수급 100%증가</v>
      </c>
      <c r="L131" t="str">
        <f>VLOOKUP($B131&amp;2&amp;E131,Sheet3!$A$2:$E$221,5,0)</f>
        <v>피해감소 40%</v>
      </c>
      <c r="M131" t="str">
        <f>VLOOKUP($B131&amp;3&amp;F131,Sheet3!$A$2:$E$221,5,0)</f>
        <v>공속 20% 증가 막타만 50%뎀증</v>
      </c>
      <c r="N131">
        <v>2.9660000000000002</v>
      </c>
      <c r="O131">
        <v>4.0810000000000004</v>
      </c>
    </row>
    <row r="132" spans="1:16">
      <c r="A132" t="str">
        <f t="shared" si="4"/>
        <v>삼연10221</v>
      </c>
      <c r="B132" s="16" t="s">
        <v>23</v>
      </c>
      <c r="C132" s="16">
        <v>10</v>
      </c>
      <c r="D132" s="16">
        <v>2</v>
      </c>
      <c r="E132" s="16">
        <v>2</v>
      </c>
      <c r="F132" s="16">
        <v>1</v>
      </c>
      <c r="G132" s="1">
        <f ca="1">SUMPRODUCT((Master!$A$2:$A$57=$B132)*(Master!$G$2:$G$57+공격력),(Master!$A$2:$A$57=$B132)*Master!$H$2:$H$57,(Master!$A$2:$A$57=$B132)*Master!$D$2:$D$57,(Master!$A$2:$A$57=$B132)*OFFSET(Master!$I$2:$I$57,0,D132-1),(Master!$A$2:$A$57=$B132)*OFFSET(Master!$L$2:$L$57,0,E132-1),(Master!$A$2:$A$57=$B132)*OFFSET(Master!$O$2:$O$57,0,F132-1))</f>
        <v>5182.236493819617</v>
      </c>
      <c r="H132" s="7">
        <f t="shared" si="5"/>
        <v>1.1150000000000002</v>
      </c>
      <c r="I132" s="79">
        <v>20</v>
      </c>
      <c r="J132" s="78">
        <v>513</v>
      </c>
      <c r="K132" t="str">
        <f>VLOOKUP($B132&amp;1&amp;D132,Sheet3!$A$2:$E$221,5,0)</f>
        <v>버블수급 100%증가</v>
      </c>
      <c r="L132" t="str">
        <f>VLOOKUP($B132&amp;2&amp;E132,Sheet3!$A$2:$E$221,5,0)</f>
        <v>타격 회수당 15%씩 피해증가</v>
      </c>
      <c r="M132" t="str">
        <f>VLOOKUP($B132&amp;3&amp;F132,Sheet3!$A$2:$E$221,5,0)</f>
        <v>공속 20% 증가 막타만 50%뎀증</v>
      </c>
      <c r="N132">
        <v>2.9660000000000002</v>
      </c>
      <c r="O132">
        <v>4.0810000000000004</v>
      </c>
    </row>
    <row r="133" spans="1:16">
      <c r="A133" t="str">
        <f t="shared" si="4"/>
        <v>삼연10231</v>
      </c>
      <c r="B133" s="16" t="s">
        <v>23</v>
      </c>
      <c r="C133" s="16">
        <v>10</v>
      </c>
      <c r="D133" s="16">
        <v>2</v>
      </c>
      <c r="E133" s="16">
        <v>3</v>
      </c>
      <c r="F133" s="16">
        <v>1</v>
      </c>
      <c r="G133" s="1">
        <f ca="1">SUMPRODUCT((Master!$A$2:$A$57=$B133)*(Master!$G$2:$G$57+공격력),(Master!$A$2:$A$57=$B133)*Master!$H$2:$H$57,(Master!$A$2:$A$57=$B133)*Master!$D$2:$D$57,(Master!$A$2:$A$57=$B133)*OFFSET(Master!$I$2:$I$57,0,D133-1),(Master!$A$2:$A$57=$B133)*OFFSET(Master!$L$2:$L$57,0,E133-1),(Master!$A$2:$A$57=$B133)*OFFSET(Master!$O$2:$O$57,0,F133-1))</f>
        <v>3672.0402057071001</v>
      </c>
      <c r="H133" s="7">
        <f t="shared" si="5"/>
        <v>1.1150000000000002</v>
      </c>
      <c r="I133" s="79">
        <v>20</v>
      </c>
      <c r="J133" s="78">
        <v>513</v>
      </c>
      <c r="K133" t="str">
        <f>VLOOKUP($B133&amp;1&amp;D133,Sheet3!$A$2:$E$221,5,0)</f>
        <v>버블수급 100%증가</v>
      </c>
      <c r="L133" t="str">
        <f>VLOOKUP($B133&amp;2&amp;E133,Sheet3!$A$2:$E$221,5,0)</f>
        <v>-</v>
      </c>
      <c r="M133" t="str">
        <f>VLOOKUP($B133&amp;3&amp;F133,Sheet3!$A$2:$E$221,5,0)</f>
        <v>공속 20% 증가 막타만 50%뎀증</v>
      </c>
      <c r="N133">
        <v>2.9660000000000002</v>
      </c>
      <c r="O133">
        <v>4.0810000000000004</v>
      </c>
    </row>
    <row r="134" spans="1:16">
      <c r="A134" t="str">
        <f t="shared" si="4"/>
        <v>삼연10311</v>
      </c>
      <c r="B134" s="16" t="s">
        <v>23</v>
      </c>
      <c r="C134" s="16">
        <v>10</v>
      </c>
      <c r="D134" s="16">
        <v>3</v>
      </c>
      <c r="E134" s="16">
        <v>1</v>
      </c>
      <c r="F134" s="16">
        <v>1</v>
      </c>
      <c r="G134" s="1">
        <f ca="1">SUMPRODUCT((Master!$A$2:$A$57=$B134)*(Master!$G$2:$G$57+공격력),(Master!$A$2:$A$57=$B134)*Master!$H$2:$H$57,(Master!$A$2:$A$57=$B134)*Master!$D$2:$D$57,(Master!$A$2:$A$57=$B134)*OFFSET(Master!$I$2:$I$57,0,D134-1),(Master!$A$2:$A$57=$B134)*OFFSET(Master!$L$2:$L$57,0,E134-1),(Master!$A$2:$A$57=$B134)*OFFSET(Master!$O$2:$O$57,0,F134-1))</f>
        <v>4222.8462365631649</v>
      </c>
      <c r="H134" s="7">
        <f t="shared" si="5"/>
        <v>1.1150000000000002</v>
      </c>
      <c r="I134" s="79">
        <v>10</v>
      </c>
      <c r="J134" s="78">
        <v>513</v>
      </c>
      <c r="K134" t="str">
        <f>VLOOKUP($B134&amp;1&amp;D134,Sheet3!$A$2:$E$221,5,0)</f>
        <v>-</v>
      </c>
      <c r="L134" t="str">
        <f>VLOOKUP($B134&amp;2&amp;E134,Sheet3!$A$2:$E$221,5,0)</f>
        <v>피해감소 40%</v>
      </c>
      <c r="M134" t="str">
        <f>VLOOKUP($B134&amp;3&amp;F134,Sheet3!$A$2:$E$221,5,0)</f>
        <v>공속 20% 증가 막타만 50%뎀증</v>
      </c>
      <c r="N134">
        <v>2.9660000000000002</v>
      </c>
      <c r="O134">
        <v>4.0810000000000004</v>
      </c>
    </row>
    <row r="135" spans="1:16">
      <c r="A135" t="str">
        <f t="shared" si="4"/>
        <v>삼연10321</v>
      </c>
      <c r="B135" s="16" t="s">
        <v>23</v>
      </c>
      <c r="C135" s="16">
        <v>10</v>
      </c>
      <c r="D135" s="16">
        <v>3</v>
      </c>
      <c r="E135" s="16">
        <v>2</v>
      </c>
      <c r="F135" s="16">
        <v>1</v>
      </c>
      <c r="G135" s="1">
        <f ca="1">SUMPRODUCT((Master!$A$2:$A$57=$B135)*(Master!$G$2:$G$57+공격력),(Master!$A$2:$A$57=$B135)*Master!$H$2:$H$57,(Master!$A$2:$A$57=$B135)*Master!$D$2:$D$57,(Master!$A$2:$A$57=$B135)*OFFSET(Master!$I$2:$I$57,0,D135-1),(Master!$A$2:$A$57=$B135)*OFFSET(Master!$L$2:$L$57,0,E135-1),(Master!$A$2:$A$57=$B135)*OFFSET(Master!$O$2:$O$57,0,F135-1))</f>
        <v>5959.5719678925589</v>
      </c>
      <c r="H135" s="7">
        <f t="shared" si="5"/>
        <v>1.1150000000000002</v>
      </c>
      <c r="I135" s="79">
        <v>10</v>
      </c>
      <c r="J135" s="78">
        <v>513</v>
      </c>
      <c r="K135" t="str">
        <f>VLOOKUP($B135&amp;1&amp;D135,Sheet3!$A$2:$E$221,5,0)</f>
        <v>-</v>
      </c>
      <c r="L135" t="str">
        <f>VLOOKUP($B135&amp;2&amp;E135,Sheet3!$A$2:$E$221,5,0)</f>
        <v>타격 회수당 15%씩 피해증가</v>
      </c>
      <c r="M135" t="str">
        <f>VLOOKUP($B135&amp;3&amp;F135,Sheet3!$A$2:$E$221,5,0)</f>
        <v>공속 20% 증가 막타만 50%뎀증</v>
      </c>
      <c r="N135" s="10">
        <v>2.9660000000000002</v>
      </c>
      <c r="O135" s="10">
        <v>4.0810000000000004</v>
      </c>
      <c r="P135" s="10"/>
    </row>
    <row r="136" spans="1:16">
      <c r="A136" t="str">
        <f t="shared" si="4"/>
        <v>삼연10331</v>
      </c>
      <c r="B136" s="16" t="s">
        <v>23</v>
      </c>
      <c r="C136" s="16">
        <v>10</v>
      </c>
      <c r="D136" s="16">
        <v>3</v>
      </c>
      <c r="E136" s="16">
        <v>3</v>
      </c>
      <c r="F136" s="16">
        <v>1</v>
      </c>
      <c r="G136" s="1">
        <f ca="1">SUMPRODUCT((Master!$A$2:$A$57=$B136)*(Master!$G$2:$G$57+공격력),(Master!$A$2:$A$57=$B136)*Master!$H$2:$H$57,(Master!$A$2:$A$57=$B136)*Master!$D$2:$D$57,(Master!$A$2:$A$57=$B136)*OFFSET(Master!$I$2:$I$57,0,D136-1),(Master!$A$2:$A$57=$B136)*OFFSET(Master!$L$2:$L$57,0,E136-1),(Master!$A$2:$A$57=$B136)*OFFSET(Master!$O$2:$O$57,0,F136-1))</f>
        <v>4222.8462365631649</v>
      </c>
      <c r="H136" s="7">
        <f t="shared" si="5"/>
        <v>1.1150000000000002</v>
      </c>
      <c r="I136" s="79">
        <v>10</v>
      </c>
      <c r="J136" s="78">
        <v>513</v>
      </c>
      <c r="K136" t="str">
        <f>VLOOKUP($B136&amp;1&amp;D136,Sheet3!$A$2:$E$221,5,0)</f>
        <v>-</v>
      </c>
      <c r="L136" t="str">
        <f>VLOOKUP($B136&amp;2&amp;E136,Sheet3!$A$2:$E$221,5,0)</f>
        <v>-</v>
      </c>
      <c r="M136" t="str">
        <f>VLOOKUP($B136&amp;3&amp;F136,Sheet3!$A$2:$E$221,5,0)</f>
        <v>공속 20% 증가 막타만 50%뎀증</v>
      </c>
      <c r="N136" s="10">
        <v>2.9660000000000002</v>
      </c>
      <c r="O136" s="10">
        <v>4.0810000000000004</v>
      </c>
      <c r="P136" s="10"/>
    </row>
    <row r="137" spans="1:16">
      <c r="A137" t="str">
        <f t="shared" si="4"/>
        <v>섬열10111</v>
      </c>
      <c r="B137" s="16" t="s">
        <v>3</v>
      </c>
      <c r="C137" s="16">
        <v>10</v>
      </c>
      <c r="D137" s="16">
        <v>1</v>
      </c>
      <c r="E137" s="16">
        <v>1</v>
      </c>
      <c r="F137" s="16">
        <v>1</v>
      </c>
      <c r="G137" s="1">
        <f ca="1">SUMPRODUCT((Master!$A$2:$A$57=$B137)*(Master!$G$2:$G$57+공격력),(Master!$A$2:$A$57=$B137)*Master!$H$2:$H$57,(Master!$A$2:$A$57=$B137)*Master!$D$2:$D$57,(Master!$A$2:$A$57=$B137)*OFFSET(Master!$I$2:$I$57,0,D137-1),(Master!$A$2:$A$57=$B137)*OFFSET(Master!$L$2:$L$57,0,E137-1),(Master!$A$2:$A$57=$B137)*OFFSET(Master!$O$2:$O$57,0,F137-1))</f>
        <v>10037.229981579116</v>
      </c>
      <c r="H137" s="7">
        <f t="shared" si="5"/>
        <v>3.8180000000000005</v>
      </c>
      <c r="I137" s="79">
        <v>53</v>
      </c>
      <c r="J137" s="78">
        <v>457</v>
      </c>
      <c r="K137" t="str">
        <f>VLOOKUP($B137&amp;1&amp;D137,Sheet3!$A$2:$E$221,5,0)</f>
        <v>성속성, 공속 30%증가 3초</v>
      </c>
      <c r="L137" t="str">
        <f>VLOOKUP($B137&amp;2&amp;E137,Sheet3!$A$2:$E$221,5,0)</f>
        <v>공격형태 변경. 2.5초 홀딩. 데미지는 연타만 증가(총 80%는 맞음)</v>
      </c>
      <c r="M137" t="str">
        <f>VLOOKUP($B137&amp;3&amp;F137,Sheet3!$A$2:$E$221,5,0)</f>
        <v>치명 30%(불확실)증가, 막타만 뎀증 50%</v>
      </c>
      <c r="N137" s="10">
        <v>1.9139999999999999</v>
      </c>
      <c r="O137" s="10">
        <v>5.7320000000000002</v>
      </c>
      <c r="P137" s="10"/>
    </row>
    <row r="138" spans="1:16">
      <c r="A138" t="str">
        <f t="shared" si="4"/>
        <v>섬열10112</v>
      </c>
      <c r="B138" s="16" t="s">
        <v>3</v>
      </c>
      <c r="C138" s="16">
        <v>10</v>
      </c>
      <c r="D138" s="16">
        <v>1</v>
      </c>
      <c r="E138" s="16">
        <v>1</v>
      </c>
      <c r="F138" s="16">
        <v>2</v>
      </c>
      <c r="G138" s="1">
        <f ca="1">SUMPRODUCT((Master!$A$2:$A$57=$B138)*(Master!$G$2:$G$57+공격력),(Master!$A$2:$A$57=$B138)*Master!$H$2:$H$57,(Master!$A$2:$A$57=$B138)*Master!$D$2:$D$57,(Master!$A$2:$A$57=$B138)*OFFSET(Master!$I$2:$I$57,0,D138-1),(Master!$A$2:$A$57=$B138)*OFFSET(Master!$L$2:$L$57,0,E138-1),(Master!$A$2:$A$57=$B138)*OFFSET(Master!$O$2:$O$57,0,F138-1))</f>
        <v>9035.0981134472477</v>
      </c>
      <c r="H138" s="7">
        <f t="shared" si="5"/>
        <v>3.5830000000000002</v>
      </c>
      <c r="I138" s="79">
        <v>39</v>
      </c>
      <c r="J138" s="78">
        <v>465</v>
      </c>
      <c r="K138" t="str">
        <f>VLOOKUP($B138&amp;1&amp;D138,Sheet3!$A$2:$E$221,5,0)</f>
        <v>성속성, 공속 30%증가 3초</v>
      </c>
      <c r="L138" t="str">
        <f>VLOOKUP($B138&amp;2&amp;E138,Sheet3!$A$2:$E$221,5,0)</f>
        <v>공격형태 변경. 2.5초 홀딩. 데미지는 연타만 증가(총 80%는 맞음)</v>
      </c>
      <c r="M138" t="str">
        <f>VLOOKUP($B138&amp;3&amp;F138,Sheet3!$A$2:$E$221,5,0)</f>
        <v>방어무시 40%(계산미포함), 피격이상면역</v>
      </c>
      <c r="N138">
        <v>6.3819999999999997</v>
      </c>
      <c r="O138" s="10">
        <v>9.9649999999999999</v>
      </c>
      <c r="P138" s="10"/>
    </row>
    <row r="139" spans="1:16">
      <c r="A139" t="str">
        <f t="shared" si="4"/>
        <v>섬열10121</v>
      </c>
      <c r="B139" s="16" t="s">
        <v>3</v>
      </c>
      <c r="C139" s="16">
        <v>10</v>
      </c>
      <c r="D139" s="16">
        <v>1</v>
      </c>
      <c r="E139" s="16">
        <v>2</v>
      </c>
      <c r="F139" s="16">
        <v>1</v>
      </c>
      <c r="G139" s="1">
        <f ca="1">SUMPRODUCT((Master!$A$2:$A$57=$B139)*(Master!$G$2:$G$57+공격력),(Master!$A$2:$A$57=$B139)*Master!$H$2:$H$57,(Master!$A$2:$A$57=$B139)*Master!$D$2:$D$57,(Master!$A$2:$A$57=$B139)*OFFSET(Master!$I$2:$I$57,0,D139-1),(Master!$A$2:$A$57=$B139)*OFFSET(Master!$L$2:$L$57,0,E139-1),(Master!$A$2:$A$57=$B139)*OFFSET(Master!$O$2:$O$57,0,F139-1))</f>
        <v>7023.269033856317</v>
      </c>
      <c r="H139" s="7">
        <f t="shared" si="5"/>
        <v>1.8189999999999991</v>
      </c>
      <c r="I139" s="79">
        <v>30</v>
      </c>
      <c r="J139" s="78">
        <v>479</v>
      </c>
      <c r="K139" t="str">
        <f>VLOOKUP($B139&amp;1&amp;D139,Sheet3!$A$2:$E$221,5,0)</f>
        <v>성속성, 공속 30%증가 3초</v>
      </c>
      <c r="L139" t="str">
        <f>VLOOKUP($B139&amp;2&amp;E139,Sheet3!$A$2:$E$221,5,0)</f>
        <v>4타후 마무리공격. 뎀증은 연타만(총 20%는 맞음)</v>
      </c>
      <c r="M139" t="str">
        <f>VLOOKUP($B139&amp;3&amp;F139,Sheet3!$A$2:$E$221,5,0)</f>
        <v>치명 30%(불확실)증가, 막타만 뎀증 50%</v>
      </c>
      <c r="N139">
        <v>20.414000000000001</v>
      </c>
      <c r="O139">
        <v>22.233000000000001</v>
      </c>
      <c r="P139" s="10"/>
    </row>
    <row r="140" spans="1:16">
      <c r="A140" t="str">
        <f t="shared" si="4"/>
        <v>섬열10122</v>
      </c>
      <c r="B140" s="16" t="s">
        <v>3</v>
      </c>
      <c r="C140" s="16">
        <v>10</v>
      </c>
      <c r="D140" s="16">
        <v>1</v>
      </c>
      <c r="E140" s="16">
        <v>2</v>
      </c>
      <c r="F140" s="16">
        <v>2</v>
      </c>
      <c r="G140" s="1">
        <f ca="1">SUMPRODUCT((Master!$A$2:$A$57=$B140)*(Master!$G$2:$G$57+공격력),(Master!$A$2:$A$57=$B140)*Master!$H$2:$H$57,(Master!$A$2:$A$57=$B140)*Master!$D$2:$D$57,(Master!$A$2:$A$57=$B140)*OFFSET(Master!$I$2:$I$57,0,D140-1),(Master!$A$2:$A$57=$B140)*OFFSET(Master!$L$2:$L$57,0,E140-1),(Master!$A$2:$A$57=$B140)*OFFSET(Master!$O$2:$O$57,0,F140-1))</f>
        <v>6021.137165724449</v>
      </c>
      <c r="H140" s="7">
        <f t="shared" si="5"/>
        <v>1.3850000000000002</v>
      </c>
      <c r="I140" s="79">
        <v>25</v>
      </c>
      <c r="J140" s="78">
        <v>487</v>
      </c>
      <c r="K140" t="str">
        <f>VLOOKUP($B140&amp;1&amp;D140,Sheet3!$A$2:$E$221,5,0)</f>
        <v>성속성, 공속 30%증가 3초</v>
      </c>
      <c r="L140" t="str">
        <f>VLOOKUP($B140&amp;2&amp;E140,Sheet3!$A$2:$E$221,5,0)</f>
        <v>4타후 마무리공격. 뎀증은 연타만(총 20%는 맞음)</v>
      </c>
      <c r="M140" t="str">
        <f>VLOOKUP($B140&amp;3&amp;F140,Sheet3!$A$2:$E$221,5,0)</f>
        <v>방어무시 40%(계산미포함), 피격이상면역</v>
      </c>
      <c r="N140" s="10">
        <v>1.3149999999999999</v>
      </c>
      <c r="O140" s="10">
        <v>2.7</v>
      </c>
      <c r="P140" s="10"/>
    </row>
    <row r="141" spans="1:16">
      <c r="A141" t="str">
        <f t="shared" si="4"/>
        <v>섬열10131</v>
      </c>
      <c r="B141" s="16" t="s">
        <v>3</v>
      </c>
      <c r="C141" s="16">
        <v>10</v>
      </c>
      <c r="D141" s="16">
        <v>1</v>
      </c>
      <c r="E141" s="16">
        <v>3</v>
      </c>
      <c r="F141" s="16">
        <v>1</v>
      </c>
      <c r="G141" s="1">
        <f ca="1">SUMPRODUCT((Master!$A$2:$A$57=$B141)*(Master!$G$2:$G$57+공격력),(Master!$A$2:$A$57=$B141)*Master!$H$2:$H$57,(Master!$A$2:$A$57=$B141)*Master!$D$2:$D$57,(Master!$A$2:$A$57=$B141)*OFFSET(Master!$I$2:$I$57,0,D141-1),(Master!$A$2:$A$57=$B141)*OFFSET(Master!$L$2:$L$57,0,E141-1),(Master!$A$2:$A$57=$B141)*OFFSET(Master!$O$2:$O$57,0,F141-1))</f>
        <v>9027.923076923078</v>
      </c>
      <c r="H141" s="7">
        <f t="shared" si="5"/>
        <v>2.2669999999999995</v>
      </c>
      <c r="I141" s="79">
        <v>26</v>
      </c>
      <c r="J141" s="78">
        <v>487</v>
      </c>
      <c r="K141" t="str">
        <f>VLOOKUP($B141&amp;1&amp;D141,Sheet3!$A$2:$E$221,5,0)</f>
        <v>성속성, 공속 30%증가 3초</v>
      </c>
      <c r="L141" t="str">
        <f>VLOOKUP($B141&amp;2&amp;E141,Sheet3!$A$2:$E$221,5,0)</f>
        <v>시전중에 회피 20%증가</v>
      </c>
      <c r="M141" t="str">
        <f>VLOOKUP($B141&amp;3&amp;F141,Sheet3!$A$2:$E$221,5,0)</f>
        <v>치명 30%(불확실)증가, 막타만 뎀증 50%</v>
      </c>
      <c r="N141">
        <v>5.1820000000000004</v>
      </c>
      <c r="O141" s="10">
        <v>7.4489999999999998</v>
      </c>
      <c r="P141" s="10"/>
    </row>
    <row r="142" spans="1:16">
      <c r="A142" t="str">
        <f t="shared" si="4"/>
        <v>섬열10132</v>
      </c>
      <c r="B142" s="16" t="s">
        <v>3</v>
      </c>
      <c r="C142" s="16">
        <v>10</v>
      </c>
      <c r="D142" s="16">
        <v>1</v>
      </c>
      <c r="E142" s="16">
        <v>3</v>
      </c>
      <c r="F142" s="16">
        <v>2</v>
      </c>
      <c r="G142" s="1">
        <f ca="1">SUMPRODUCT((Master!$A$2:$A$57=$B142)*(Master!$G$2:$G$57+공격력),(Master!$A$2:$A$57=$B142)*Master!$H$2:$H$57,(Master!$A$2:$A$57=$B142)*Master!$D$2:$D$57,(Master!$A$2:$A$57=$B142)*OFFSET(Master!$I$2:$I$57,0,D142-1),(Master!$A$2:$A$57=$B142)*OFFSET(Master!$L$2:$L$57,0,E142-1),(Master!$A$2:$A$57=$B142)*OFFSET(Master!$O$2:$O$57,0,F142-1))</f>
        <v>7524.7252747252751</v>
      </c>
      <c r="H142" s="7">
        <f t="shared" si="5"/>
        <v>1.9490000000000016</v>
      </c>
      <c r="I142" s="79">
        <v>20</v>
      </c>
      <c r="J142" s="78">
        <v>495</v>
      </c>
      <c r="K142" t="str">
        <f>VLOOKUP($B142&amp;1&amp;D142,Sheet3!$A$2:$E$221,5,0)</f>
        <v>성속성, 공속 30%증가 3초</v>
      </c>
      <c r="L142" t="str">
        <f>VLOOKUP($B142&amp;2&amp;E142,Sheet3!$A$2:$E$221,5,0)</f>
        <v>시전중에 회피 20%증가</v>
      </c>
      <c r="M142" t="str">
        <f>VLOOKUP($B142&amp;3&amp;F142,Sheet3!$A$2:$E$221,5,0)</f>
        <v>방어무시 40%(계산미포함), 피격이상면역</v>
      </c>
      <c r="N142">
        <v>26.082999999999998</v>
      </c>
      <c r="O142" s="10">
        <v>28.032</v>
      </c>
      <c r="P142" s="10"/>
    </row>
    <row r="143" spans="1:16">
      <c r="A143" t="str">
        <f t="shared" si="4"/>
        <v>섬열10211</v>
      </c>
      <c r="B143" s="16" t="s">
        <v>3</v>
      </c>
      <c r="C143" s="16">
        <v>10</v>
      </c>
      <c r="D143" s="16">
        <v>2</v>
      </c>
      <c r="E143" s="16">
        <v>1</v>
      </c>
      <c r="F143" s="16">
        <v>1</v>
      </c>
      <c r="G143" s="1">
        <f ca="1">SUMPRODUCT((Master!$A$2:$A$57=$B143)*(Master!$G$2:$G$57+공격력),(Master!$A$2:$A$57=$B143)*Master!$H$2:$H$57,(Master!$A$2:$A$57=$B143)*Master!$D$2:$D$57,(Master!$A$2:$A$57=$B143)*OFFSET(Master!$I$2:$I$57,0,D143-1),(Master!$A$2:$A$57=$B143)*OFFSET(Master!$L$2:$L$57,0,E143-1),(Master!$A$2:$A$57=$B143)*OFFSET(Master!$O$2:$O$57,0,F143-1))</f>
        <v>10037.229981579116</v>
      </c>
      <c r="H143" s="7">
        <f t="shared" si="5"/>
        <v>3.734</v>
      </c>
      <c r="I143" s="79">
        <v>53</v>
      </c>
      <c r="J143" s="78">
        <v>457</v>
      </c>
      <c r="K143" t="str">
        <f>VLOOKUP($B143&amp;1&amp;D143,Sheet3!$A$2:$E$221,5,0)</f>
        <v>암속성, 치깎 15% 3초</v>
      </c>
      <c r="L143" t="str">
        <f>VLOOKUP($B143&amp;2&amp;E143,Sheet3!$A$2:$E$221,5,0)</f>
        <v>공격형태 변경. 2.5초 홀딩. 데미지는 연타만 증가(총 80%는 맞음)</v>
      </c>
      <c r="M143" t="str">
        <f>VLOOKUP($B143&amp;3&amp;F143,Sheet3!$A$2:$E$221,5,0)</f>
        <v>치명 30%(불확실)증가, 막타만 뎀증 50%</v>
      </c>
      <c r="N143" s="10">
        <v>12.449</v>
      </c>
      <c r="O143" s="10">
        <v>16.183</v>
      </c>
      <c r="P143" s="10"/>
    </row>
    <row r="144" spans="1:16">
      <c r="A144" t="str">
        <f t="shared" si="4"/>
        <v>섬열10212</v>
      </c>
      <c r="B144" s="16" t="s">
        <v>3</v>
      </c>
      <c r="C144" s="16">
        <v>10</v>
      </c>
      <c r="D144" s="16">
        <v>2</v>
      </c>
      <c r="E144" s="16">
        <v>1</v>
      </c>
      <c r="F144" s="16">
        <v>2</v>
      </c>
      <c r="G144" s="1">
        <f ca="1">SUMPRODUCT((Master!$A$2:$A$57=$B144)*(Master!$G$2:$G$57+공격력),(Master!$A$2:$A$57=$B144)*Master!$H$2:$H$57,(Master!$A$2:$A$57=$B144)*Master!$D$2:$D$57,(Master!$A$2:$A$57=$B144)*OFFSET(Master!$I$2:$I$57,0,D144-1),(Master!$A$2:$A$57=$B144)*OFFSET(Master!$L$2:$L$57,0,E144-1),(Master!$A$2:$A$57=$B144)*OFFSET(Master!$O$2:$O$57,0,F144-1))</f>
        <v>9035.0981134472477</v>
      </c>
      <c r="H144" s="7">
        <f t="shared" si="5"/>
        <v>3.5830000000000002</v>
      </c>
      <c r="I144" s="79">
        <v>39</v>
      </c>
      <c r="J144" s="78">
        <v>465</v>
      </c>
      <c r="K144" t="str">
        <f>VLOOKUP($B144&amp;1&amp;D144,Sheet3!$A$2:$E$221,5,0)</f>
        <v>암속성, 치깎 15% 3초</v>
      </c>
      <c r="L144" t="str">
        <f>VLOOKUP($B144&amp;2&amp;E144,Sheet3!$A$2:$E$221,5,0)</f>
        <v>공격형태 변경. 2.5초 홀딩. 데미지는 연타만 증가(총 80%는 맞음)</v>
      </c>
      <c r="M144" t="str">
        <f>VLOOKUP($B144&amp;3&amp;F144,Sheet3!$A$2:$E$221,5,0)</f>
        <v>방어무시 40%(계산미포함), 피격이상면역</v>
      </c>
      <c r="N144" s="10">
        <v>8.282</v>
      </c>
      <c r="O144" s="10">
        <v>11.865</v>
      </c>
    </row>
    <row r="145" spans="1:15">
      <c r="A145" t="str">
        <f t="shared" si="4"/>
        <v>섬열10221</v>
      </c>
      <c r="B145" s="16" t="s">
        <v>3</v>
      </c>
      <c r="C145" s="16">
        <v>10</v>
      </c>
      <c r="D145" s="16">
        <v>2</v>
      </c>
      <c r="E145" s="16">
        <v>2</v>
      </c>
      <c r="F145" s="16">
        <v>1</v>
      </c>
      <c r="G145" s="1">
        <f ca="1">SUMPRODUCT((Master!$A$2:$A$57=$B145)*(Master!$G$2:$G$57+공격력),(Master!$A$2:$A$57=$B145)*Master!$H$2:$H$57,(Master!$A$2:$A$57=$B145)*Master!$D$2:$D$57,(Master!$A$2:$A$57=$B145)*OFFSET(Master!$I$2:$I$57,0,D145-1),(Master!$A$2:$A$57=$B145)*OFFSET(Master!$L$2:$L$57,0,E145-1),(Master!$A$2:$A$57=$B145)*OFFSET(Master!$O$2:$O$57,0,F145-1))</f>
        <v>7023.269033856317</v>
      </c>
      <c r="H145" s="7">
        <f t="shared" si="5"/>
        <v>1.7329999999999988</v>
      </c>
      <c r="I145" s="79">
        <v>30</v>
      </c>
      <c r="J145" s="78">
        <v>479</v>
      </c>
      <c r="K145" t="str">
        <f>VLOOKUP($B145&amp;1&amp;D145,Sheet3!$A$2:$E$221,5,0)</f>
        <v>암속성, 치깎 15% 3초</v>
      </c>
      <c r="L145" t="str">
        <f>VLOOKUP($B145&amp;2&amp;E145,Sheet3!$A$2:$E$221,5,0)</f>
        <v>4타후 마무리공격. 뎀증은 연타만(총 20%는 맞음)</v>
      </c>
      <c r="M145" t="str">
        <f>VLOOKUP($B145&amp;3&amp;F145,Sheet3!$A$2:$E$221,5,0)</f>
        <v>치명 30%(불확실)증가, 막타만 뎀증 50%</v>
      </c>
      <c r="N145">
        <v>8.6980000000000004</v>
      </c>
      <c r="O145">
        <v>10.430999999999999</v>
      </c>
    </row>
    <row r="146" spans="1:15">
      <c r="A146" t="str">
        <f t="shared" si="4"/>
        <v>섬열10222</v>
      </c>
      <c r="B146" s="16" t="s">
        <v>3</v>
      </c>
      <c r="C146" s="16">
        <v>10</v>
      </c>
      <c r="D146" s="16">
        <v>2</v>
      </c>
      <c r="E146" s="16">
        <v>2</v>
      </c>
      <c r="F146" s="16">
        <v>2</v>
      </c>
      <c r="G146" s="1">
        <f ca="1">SUMPRODUCT((Master!$A$2:$A$57=$B146)*(Master!$G$2:$G$57+공격력),(Master!$A$2:$A$57=$B146)*Master!$H$2:$H$57,(Master!$A$2:$A$57=$B146)*Master!$D$2:$D$57,(Master!$A$2:$A$57=$B146)*OFFSET(Master!$I$2:$I$57,0,D146-1),(Master!$A$2:$A$57=$B146)*OFFSET(Master!$L$2:$L$57,0,E146-1),(Master!$A$2:$A$57=$B146)*OFFSET(Master!$O$2:$O$57,0,F146-1))</f>
        <v>6021.137165724449</v>
      </c>
      <c r="H146" s="7">
        <f t="shared" si="5"/>
        <v>1.4000000000000004</v>
      </c>
      <c r="I146" s="79">
        <v>25</v>
      </c>
      <c r="J146" s="78">
        <v>487</v>
      </c>
      <c r="K146" t="str">
        <f>VLOOKUP($B146&amp;1&amp;D146,Sheet3!$A$2:$E$221,5,0)</f>
        <v>암속성, 치깎 15% 3초</v>
      </c>
      <c r="L146" t="str">
        <f>VLOOKUP($B146&amp;2&amp;E146,Sheet3!$A$2:$E$221,5,0)</f>
        <v>4타후 마무리공격. 뎀증은 연타만(총 20%는 맞음)</v>
      </c>
      <c r="M146" t="str">
        <f>VLOOKUP($B146&amp;3&amp;F146,Sheet3!$A$2:$E$221,5,0)</f>
        <v>방어무시 40%(계산미포함), 피격이상면역</v>
      </c>
      <c r="N146" s="91">
        <v>9.032</v>
      </c>
      <c r="O146" s="91">
        <v>10.432</v>
      </c>
    </row>
    <row r="147" spans="1:15">
      <c r="A147" t="str">
        <f t="shared" si="4"/>
        <v>섬열10231</v>
      </c>
      <c r="B147" s="16" t="s">
        <v>3</v>
      </c>
      <c r="C147" s="16">
        <v>10</v>
      </c>
      <c r="D147" s="16">
        <v>2</v>
      </c>
      <c r="E147" s="16">
        <v>3</v>
      </c>
      <c r="F147" s="16">
        <v>1</v>
      </c>
      <c r="G147" s="1">
        <f ca="1">SUMPRODUCT((Master!$A$2:$A$57=$B147)*(Master!$G$2:$G$57+공격력),(Master!$A$2:$A$57=$B147)*Master!$H$2:$H$57,(Master!$A$2:$A$57=$B147)*Master!$D$2:$D$57,(Master!$A$2:$A$57=$B147)*OFFSET(Master!$I$2:$I$57,0,D147-1),(Master!$A$2:$A$57=$B147)*OFFSET(Master!$L$2:$L$57,0,E147-1),(Master!$A$2:$A$57=$B147)*OFFSET(Master!$O$2:$O$57,0,F147-1))</f>
        <v>9027.923076923078</v>
      </c>
      <c r="H147" s="7">
        <f t="shared" si="5"/>
        <v>2.3330000000000002</v>
      </c>
      <c r="I147" s="79">
        <v>26</v>
      </c>
      <c r="J147" s="78">
        <v>487</v>
      </c>
      <c r="K147" t="str">
        <f>VLOOKUP($B147&amp;1&amp;D147,Sheet3!$A$2:$E$221,5,0)</f>
        <v>암속성, 치깎 15% 3초</v>
      </c>
      <c r="L147" t="str">
        <f>VLOOKUP($B147&amp;2&amp;E147,Sheet3!$A$2:$E$221,5,0)</f>
        <v>시전중에 회피 20%증가</v>
      </c>
      <c r="M147" t="str">
        <f>VLOOKUP($B147&amp;3&amp;F147,Sheet3!$A$2:$E$221,5,0)</f>
        <v>치명 30%(불확실)증가, 막타만 뎀증 50%</v>
      </c>
      <c r="N147">
        <v>6.782</v>
      </c>
      <c r="O147">
        <v>9.1150000000000002</v>
      </c>
    </row>
    <row r="148" spans="1:15">
      <c r="A148" t="str">
        <f t="shared" si="4"/>
        <v>섬열10232</v>
      </c>
      <c r="B148" s="16" t="s">
        <v>3</v>
      </c>
      <c r="C148" s="16">
        <v>10</v>
      </c>
      <c r="D148" s="16">
        <v>2</v>
      </c>
      <c r="E148" s="16">
        <v>3</v>
      </c>
      <c r="F148" s="16">
        <v>2</v>
      </c>
      <c r="G148" s="1">
        <f ca="1">SUMPRODUCT((Master!$A$2:$A$57=$B148)*(Master!$G$2:$G$57+공격력),(Master!$A$2:$A$57=$B148)*Master!$H$2:$H$57,(Master!$A$2:$A$57=$B148)*Master!$D$2:$D$57,(Master!$A$2:$A$57=$B148)*OFFSET(Master!$I$2:$I$57,0,D148-1),(Master!$A$2:$A$57=$B148)*OFFSET(Master!$L$2:$L$57,0,E148-1),(Master!$A$2:$A$57=$B148)*OFFSET(Master!$O$2:$O$57,0,F148-1))</f>
        <v>7524.7252747252751</v>
      </c>
      <c r="H148" s="7">
        <f t="shared" si="5"/>
        <v>1.9320000000000022</v>
      </c>
      <c r="I148" s="79">
        <v>20</v>
      </c>
      <c r="J148" s="78">
        <v>495</v>
      </c>
      <c r="K148" t="str">
        <f>VLOOKUP($B148&amp;1&amp;D148,Sheet3!$A$2:$E$221,5,0)</f>
        <v>암속성, 치깎 15% 3초</v>
      </c>
      <c r="L148" t="str">
        <f>VLOOKUP($B148&amp;2&amp;E148,Sheet3!$A$2:$E$221,5,0)</f>
        <v>시전중에 회피 20%증가</v>
      </c>
      <c r="M148" t="str">
        <f>VLOOKUP($B148&amp;3&amp;F148,Sheet3!$A$2:$E$221,5,0)</f>
        <v>방어무시 40%(계산미포함), 피격이상면역</v>
      </c>
      <c r="N148">
        <v>17.731999999999999</v>
      </c>
      <c r="O148">
        <v>19.664000000000001</v>
      </c>
    </row>
    <row r="149" spans="1:15">
      <c r="A149" t="str">
        <f t="shared" si="4"/>
        <v>섬열10311</v>
      </c>
      <c r="B149" s="16" t="s">
        <v>3</v>
      </c>
      <c r="C149" s="16">
        <v>10</v>
      </c>
      <c r="D149" s="16">
        <v>3</v>
      </c>
      <c r="E149" s="16">
        <v>1</v>
      </c>
      <c r="F149" s="16">
        <v>1</v>
      </c>
      <c r="G149" s="1">
        <f ca="1">SUMPRODUCT((Master!$A$2:$A$57=$B149)*(Master!$G$2:$G$57+공격력),(Master!$A$2:$A$57=$B149)*Master!$H$2:$H$57,(Master!$A$2:$A$57=$B149)*Master!$D$2:$D$57,(Master!$A$2:$A$57=$B149)*OFFSET(Master!$I$2:$I$57,0,D149-1),(Master!$A$2:$A$57=$B149)*OFFSET(Master!$L$2:$L$57,0,E149-1),(Master!$A$2:$A$57=$B149)*OFFSET(Master!$O$2:$O$57,0,F149-1))</f>
        <v>10037.229981579116</v>
      </c>
      <c r="H149" s="7">
        <f t="shared" si="5"/>
        <v>3.734</v>
      </c>
      <c r="I149" s="79">
        <v>53</v>
      </c>
      <c r="J149" s="78">
        <v>457</v>
      </c>
      <c r="K149" t="str">
        <f>VLOOKUP($B149&amp;1&amp;D149,Sheet3!$A$2:$E$221,5,0)</f>
        <v>공격범위 30%증가</v>
      </c>
      <c r="L149" t="str">
        <f>VLOOKUP($B149&amp;2&amp;E149,Sheet3!$A$2:$E$221,5,0)</f>
        <v>공격형태 변경. 2.5초 홀딩. 데미지는 연타만 증가(총 80%는 맞음)</v>
      </c>
      <c r="M149" t="str">
        <f>VLOOKUP($B149&amp;3&amp;F149,Sheet3!$A$2:$E$221,5,0)</f>
        <v>치명 30%(불확실)증가, 막타만 뎀증 50%</v>
      </c>
      <c r="N149" s="10">
        <v>12.449</v>
      </c>
      <c r="O149" s="10">
        <v>16.183</v>
      </c>
    </row>
    <row r="150" spans="1:15">
      <c r="A150" t="str">
        <f t="shared" si="4"/>
        <v>섬열10312</v>
      </c>
      <c r="B150" s="16" t="s">
        <v>3</v>
      </c>
      <c r="C150" s="16">
        <v>10</v>
      </c>
      <c r="D150" s="16">
        <v>3</v>
      </c>
      <c r="E150" s="16">
        <v>1</v>
      </c>
      <c r="F150" s="16">
        <v>2</v>
      </c>
      <c r="G150" s="1">
        <f ca="1">SUMPRODUCT((Master!$A$2:$A$57=$B150)*(Master!$G$2:$G$57+공격력),(Master!$A$2:$A$57=$B150)*Master!$H$2:$H$57,(Master!$A$2:$A$57=$B150)*Master!$D$2:$D$57,(Master!$A$2:$A$57=$B150)*OFFSET(Master!$I$2:$I$57,0,D150-1),(Master!$A$2:$A$57=$B150)*OFFSET(Master!$L$2:$L$57,0,E150-1),(Master!$A$2:$A$57=$B150)*OFFSET(Master!$O$2:$O$57,0,F150-1))</f>
        <v>9035.0981134472477</v>
      </c>
      <c r="H150" s="7">
        <f t="shared" si="5"/>
        <v>3.5830000000000002</v>
      </c>
      <c r="I150" s="79">
        <v>39</v>
      </c>
      <c r="J150" s="78">
        <v>465</v>
      </c>
      <c r="K150" t="str">
        <f>VLOOKUP($B150&amp;1&amp;D150,Sheet3!$A$2:$E$221,5,0)</f>
        <v>공격범위 30%증가</v>
      </c>
      <c r="L150" t="str">
        <f>VLOOKUP($B150&amp;2&amp;E150,Sheet3!$A$2:$E$221,5,0)</f>
        <v>공격형태 변경. 2.5초 홀딩. 데미지는 연타만 증가(총 80%는 맞음)</v>
      </c>
      <c r="M150" t="str">
        <f>VLOOKUP($B150&amp;3&amp;F150,Sheet3!$A$2:$E$221,5,0)</f>
        <v>방어무시 40%(계산미포함), 피격이상면역</v>
      </c>
      <c r="N150" s="10">
        <v>8.282</v>
      </c>
      <c r="O150" s="10">
        <v>11.865</v>
      </c>
    </row>
    <row r="151" spans="1:15">
      <c r="A151" t="str">
        <f t="shared" si="4"/>
        <v>섬열10321</v>
      </c>
      <c r="B151" s="16" t="s">
        <v>3</v>
      </c>
      <c r="C151" s="16">
        <v>10</v>
      </c>
      <c r="D151" s="16">
        <v>3</v>
      </c>
      <c r="E151" s="16">
        <v>2</v>
      </c>
      <c r="F151" s="16">
        <v>1</v>
      </c>
      <c r="G151" s="1">
        <f ca="1">SUMPRODUCT((Master!$A$2:$A$57=$B151)*(Master!$G$2:$G$57+공격력),(Master!$A$2:$A$57=$B151)*Master!$H$2:$H$57,(Master!$A$2:$A$57=$B151)*Master!$D$2:$D$57,(Master!$A$2:$A$57=$B151)*OFFSET(Master!$I$2:$I$57,0,D151-1),(Master!$A$2:$A$57=$B151)*OFFSET(Master!$L$2:$L$57,0,E151-1),(Master!$A$2:$A$57=$B151)*OFFSET(Master!$O$2:$O$57,0,F151-1))</f>
        <v>7023.269033856317</v>
      </c>
      <c r="H151" s="7">
        <f t="shared" si="5"/>
        <v>1.7329999999999988</v>
      </c>
      <c r="I151" s="79">
        <v>30</v>
      </c>
      <c r="J151" s="78">
        <v>479</v>
      </c>
      <c r="K151" t="str">
        <f>VLOOKUP($B151&amp;1&amp;D151,Sheet3!$A$2:$E$221,5,0)</f>
        <v>공격범위 30%증가</v>
      </c>
      <c r="L151" t="str">
        <f>VLOOKUP($B151&amp;2&amp;E151,Sheet3!$A$2:$E$221,5,0)</f>
        <v>4타후 마무리공격. 뎀증은 연타만(총 20%는 맞음)</v>
      </c>
      <c r="M151" t="str">
        <f>VLOOKUP($B151&amp;3&amp;F151,Sheet3!$A$2:$E$221,5,0)</f>
        <v>치명 30%(불확실)증가, 막타만 뎀증 50%</v>
      </c>
      <c r="N151">
        <v>8.6980000000000004</v>
      </c>
      <c r="O151">
        <v>10.430999999999999</v>
      </c>
    </row>
    <row r="152" spans="1:15">
      <c r="A152" t="str">
        <f t="shared" si="4"/>
        <v>섬열10322</v>
      </c>
      <c r="B152" s="16" t="s">
        <v>3</v>
      </c>
      <c r="C152" s="16">
        <v>10</v>
      </c>
      <c r="D152" s="16">
        <v>3</v>
      </c>
      <c r="E152" s="16">
        <v>2</v>
      </c>
      <c r="F152" s="16">
        <v>2</v>
      </c>
      <c r="G152" s="1">
        <f ca="1">SUMPRODUCT((Master!$A$2:$A$57=$B152)*(Master!$G$2:$G$57+공격력),(Master!$A$2:$A$57=$B152)*Master!$H$2:$H$57,(Master!$A$2:$A$57=$B152)*Master!$D$2:$D$57,(Master!$A$2:$A$57=$B152)*OFFSET(Master!$I$2:$I$57,0,D152-1),(Master!$A$2:$A$57=$B152)*OFFSET(Master!$L$2:$L$57,0,E152-1),(Master!$A$2:$A$57=$B152)*OFFSET(Master!$O$2:$O$57,0,F152-1))</f>
        <v>6021.137165724449</v>
      </c>
      <c r="H152" s="7">
        <f t="shared" si="5"/>
        <v>1.4000000000000004</v>
      </c>
      <c r="I152" s="79">
        <v>25</v>
      </c>
      <c r="J152" s="78">
        <v>487</v>
      </c>
      <c r="K152" t="str">
        <f>VLOOKUP($B152&amp;1&amp;D152,Sheet3!$A$2:$E$221,5,0)</f>
        <v>공격범위 30%증가</v>
      </c>
      <c r="L152" t="str">
        <f>VLOOKUP($B152&amp;2&amp;E152,Sheet3!$A$2:$E$221,5,0)</f>
        <v>4타후 마무리공격. 뎀증은 연타만(총 20%는 맞음)</v>
      </c>
      <c r="M152" t="str">
        <f>VLOOKUP($B152&amp;3&amp;F152,Sheet3!$A$2:$E$221,5,0)</f>
        <v>방어무시 40%(계산미포함), 피격이상면역</v>
      </c>
      <c r="N152" s="91">
        <v>9.032</v>
      </c>
      <c r="O152" s="91">
        <v>10.432</v>
      </c>
    </row>
    <row r="153" spans="1:15">
      <c r="A153" t="str">
        <f t="shared" si="4"/>
        <v>섬열10331</v>
      </c>
      <c r="B153" s="16" t="s">
        <v>3</v>
      </c>
      <c r="C153" s="16">
        <v>10</v>
      </c>
      <c r="D153" s="16">
        <v>3</v>
      </c>
      <c r="E153" s="16">
        <v>3</v>
      </c>
      <c r="F153" s="16">
        <v>1</v>
      </c>
      <c r="G153" s="1">
        <f ca="1">SUMPRODUCT((Master!$A$2:$A$57=$B153)*(Master!$G$2:$G$57+공격력),(Master!$A$2:$A$57=$B153)*Master!$H$2:$H$57,(Master!$A$2:$A$57=$B153)*Master!$D$2:$D$57,(Master!$A$2:$A$57=$B153)*OFFSET(Master!$I$2:$I$57,0,D153-1),(Master!$A$2:$A$57=$B153)*OFFSET(Master!$L$2:$L$57,0,E153-1),(Master!$A$2:$A$57=$B153)*OFFSET(Master!$O$2:$O$57,0,F153-1))</f>
        <v>9027.923076923078</v>
      </c>
      <c r="H153" s="7">
        <f t="shared" si="5"/>
        <v>2.3330000000000002</v>
      </c>
      <c r="I153" s="79">
        <v>26</v>
      </c>
      <c r="J153" s="78">
        <v>487</v>
      </c>
      <c r="K153" t="str">
        <f>VLOOKUP($B153&amp;1&amp;D153,Sheet3!$A$2:$E$221,5,0)</f>
        <v>공격범위 30%증가</v>
      </c>
      <c r="L153" t="str">
        <f>VLOOKUP($B153&amp;2&amp;E153,Sheet3!$A$2:$E$221,5,0)</f>
        <v>시전중에 회피 20%증가</v>
      </c>
      <c r="M153" t="str">
        <f>VLOOKUP($B153&amp;3&amp;F153,Sheet3!$A$2:$E$221,5,0)</f>
        <v>치명 30%(불확실)증가, 막타만 뎀증 50%</v>
      </c>
      <c r="N153">
        <v>6.782</v>
      </c>
      <c r="O153">
        <v>9.1150000000000002</v>
      </c>
    </row>
    <row r="154" spans="1:15">
      <c r="A154" t="str">
        <f t="shared" si="4"/>
        <v>섬열10332</v>
      </c>
      <c r="B154" s="16" t="s">
        <v>3</v>
      </c>
      <c r="C154" s="16">
        <v>10</v>
      </c>
      <c r="D154" s="16">
        <v>3</v>
      </c>
      <c r="E154" s="16">
        <v>3</v>
      </c>
      <c r="F154" s="16">
        <v>2</v>
      </c>
      <c r="G154" s="1">
        <f ca="1">SUMPRODUCT((Master!$A$2:$A$57=$B154)*(Master!$G$2:$G$57+공격력),(Master!$A$2:$A$57=$B154)*Master!$H$2:$H$57,(Master!$A$2:$A$57=$B154)*Master!$D$2:$D$57,(Master!$A$2:$A$57=$B154)*OFFSET(Master!$I$2:$I$57,0,D154-1),(Master!$A$2:$A$57=$B154)*OFFSET(Master!$L$2:$L$57,0,E154-1),(Master!$A$2:$A$57=$B154)*OFFSET(Master!$O$2:$O$57,0,F154-1))</f>
        <v>7524.7252747252751</v>
      </c>
      <c r="H154" s="7">
        <f t="shared" si="5"/>
        <v>1.9320000000000022</v>
      </c>
      <c r="I154" s="79">
        <v>20</v>
      </c>
      <c r="J154" s="78">
        <v>495</v>
      </c>
      <c r="K154" t="str">
        <f>VLOOKUP($B154&amp;1&amp;D154,Sheet3!$A$2:$E$221,5,0)</f>
        <v>공격범위 30%증가</v>
      </c>
      <c r="L154" t="str">
        <f>VLOOKUP($B154&amp;2&amp;E154,Sheet3!$A$2:$E$221,5,0)</f>
        <v>시전중에 회피 20%증가</v>
      </c>
      <c r="M154" t="str">
        <f>VLOOKUP($B154&amp;3&amp;F154,Sheet3!$A$2:$E$221,5,0)</f>
        <v>방어무시 40%(계산미포함), 피격이상면역</v>
      </c>
      <c r="N154">
        <v>17.731999999999999</v>
      </c>
      <c r="O154">
        <v>19.664000000000001</v>
      </c>
    </row>
    <row r="155" spans="1:15">
      <c r="A155" t="str">
        <f t="shared" si="4"/>
        <v>오연10112</v>
      </c>
      <c r="B155" s="16" t="s">
        <v>146</v>
      </c>
      <c r="C155" s="16">
        <v>10</v>
      </c>
      <c r="D155" s="16">
        <v>1</v>
      </c>
      <c r="E155" s="16">
        <v>1</v>
      </c>
      <c r="F155" s="16">
        <v>2</v>
      </c>
      <c r="G155" s="1">
        <f ca="1">SUMPRODUCT((Master!$A$2:$A$57=$B155)*(Master!$G$2:$G$57+공격력),(Master!$A$2:$A$57=$B155)*Master!$H$2:$H$57,(Master!$A$2:$A$57=$B155)*Master!$D$2:$D$57,(Master!$A$2:$A$57=$B155)*OFFSET(Master!$I$2:$I$57,0,D155-1),(Master!$A$2:$A$57=$B155)*OFFSET(Master!$L$2:$L$57,0,E155-1),(Master!$A$2:$A$57=$B155)*OFFSET(Master!$O$2:$O$57,0,F155-1))</f>
        <v>4446.9232515894646</v>
      </c>
      <c r="H155" s="7">
        <f t="shared" si="5"/>
        <v>2.1509999999999998</v>
      </c>
      <c r="I155" s="79">
        <v>15</v>
      </c>
      <c r="J155" s="78">
        <v>502</v>
      </c>
      <c r="K155" t="str">
        <f>VLOOKUP($B155&amp;1&amp;D155,Sheet3!$A$2:$E$221,5,0)</f>
        <v>암속성, 방깍 10% 3초</v>
      </c>
      <c r="L155" t="str">
        <f>VLOOKUP($B155&amp;2&amp;E155,Sheet3!$A$2:$E$221,5,0)</f>
        <v>피해감소 40%</v>
      </c>
      <c r="M155" t="str">
        <f>VLOOKUP($B155&amp;3&amp;F155,Sheet3!$A$2:$E$221,5,0)</f>
        <v>5회 공격</v>
      </c>
      <c r="N155">
        <v>4.915</v>
      </c>
      <c r="O155">
        <v>7.0659999999999998</v>
      </c>
    </row>
    <row r="156" spans="1:15">
      <c r="A156" t="str">
        <f t="shared" si="4"/>
        <v>오연10122</v>
      </c>
      <c r="B156" s="16" t="s">
        <v>146</v>
      </c>
      <c r="C156" s="16">
        <v>10</v>
      </c>
      <c r="D156" s="16">
        <v>1</v>
      </c>
      <c r="E156" s="16">
        <v>2</v>
      </c>
      <c r="F156" s="16">
        <v>2</v>
      </c>
      <c r="G156" s="1">
        <f ca="1">SUMPRODUCT((Master!$A$2:$A$57=$B156)*(Master!$G$2:$G$57+공격력),(Master!$A$2:$A$57=$B156)*Master!$H$2:$H$57,(Master!$A$2:$A$57=$B156)*Master!$D$2:$D$57,(Master!$A$2:$A$57=$B156)*OFFSET(Master!$I$2:$I$57,0,D156-1),(Master!$A$2:$A$57=$B156)*OFFSET(Master!$L$2:$L$57,0,E156-1),(Master!$A$2:$A$57=$B156)*OFFSET(Master!$O$2:$O$57,0,F156-1))</f>
        <v>6439.5759554524284</v>
      </c>
      <c r="H156" s="7">
        <f t="shared" si="5"/>
        <v>2.1509999999999998</v>
      </c>
      <c r="I156" s="79">
        <v>15</v>
      </c>
      <c r="J156" s="78">
        <v>502</v>
      </c>
      <c r="K156" t="str">
        <f>VLOOKUP($B156&amp;1&amp;D156,Sheet3!$A$2:$E$221,5,0)</f>
        <v>암속성, 방깍 10% 3초</v>
      </c>
      <c r="L156" t="str">
        <f>VLOOKUP($B156&amp;2&amp;E156,Sheet3!$A$2:$E$221,5,0)</f>
        <v>타격 회수당 15%씩 피해증가</v>
      </c>
      <c r="M156" t="str">
        <f>VLOOKUP($B156&amp;3&amp;F156,Sheet3!$A$2:$E$221,5,0)</f>
        <v>5회 공격</v>
      </c>
      <c r="N156">
        <v>4.915</v>
      </c>
      <c r="O156">
        <v>7.0659999999999998</v>
      </c>
    </row>
    <row r="157" spans="1:15">
      <c r="A157" t="str">
        <f t="shared" si="4"/>
        <v>오연10132</v>
      </c>
      <c r="B157" s="16" t="s">
        <v>146</v>
      </c>
      <c r="C157" s="16">
        <v>10</v>
      </c>
      <c r="D157" s="16">
        <v>1</v>
      </c>
      <c r="E157" s="16">
        <v>3</v>
      </c>
      <c r="F157" s="16">
        <v>2</v>
      </c>
      <c r="G157" s="1">
        <f ca="1">SUMPRODUCT((Master!$A$2:$A$57=$B157)*(Master!$G$2:$G$57+공격력),(Master!$A$2:$A$57=$B157)*Master!$H$2:$H$57,(Master!$A$2:$A$57=$B157)*Master!$D$2:$D$57,(Master!$A$2:$A$57=$B157)*OFFSET(Master!$I$2:$I$57,0,D157-1),(Master!$A$2:$A$57=$B157)*OFFSET(Master!$L$2:$L$57,0,E157-1),(Master!$A$2:$A$57=$B157)*OFFSET(Master!$O$2:$O$57,0,F157-1))</f>
        <v>4446.9232515894646</v>
      </c>
      <c r="H157" s="7">
        <f t="shared" si="5"/>
        <v>2.1509999999999998</v>
      </c>
      <c r="I157" s="79">
        <v>15</v>
      </c>
      <c r="J157" s="78">
        <v>502</v>
      </c>
      <c r="K157" t="str">
        <f>VLOOKUP($B157&amp;1&amp;D157,Sheet3!$A$2:$E$221,5,0)</f>
        <v>암속성, 방깍 10% 3초</v>
      </c>
      <c r="L157" t="str">
        <f>VLOOKUP($B157&amp;2&amp;E157,Sheet3!$A$2:$E$221,5,0)</f>
        <v>-</v>
      </c>
      <c r="M157" t="str">
        <f>VLOOKUP($B157&amp;3&amp;F157,Sheet3!$A$2:$E$221,5,0)</f>
        <v>5회 공격</v>
      </c>
      <c r="N157">
        <v>4.915</v>
      </c>
      <c r="O157">
        <v>7.0659999999999998</v>
      </c>
    </row>
    <row r="158" spans="1:15">
      <c r="A158" t="str">
        <f t="shared" si="4"/>
        <v>오연10212</v>
      </c>
      <c r="B158" s="16" t="s">
        <v>146</v>
      </c>
      <c r="C158" s="16">
        <v>10</v>
      </c>
      <c r="D158" s="16">
        <v>2</v>
      </c>
      <c r="E158" s="16">
        <v>1</v>
      </c>
      <c r="F158" s="16">
        <v>2</v>
      </c>
      <c r="G158" s="1">
        <f ca="1">SUMPRODUCT((Master!$A$2:$A$57=$B158)*(Master!$G$2:$G$57+공격력),(Master!$A$2:$A$57=$B158)*Master!$H$2:$H$57,(Master!$A$2:$A$57=$B158)*Master!$D$2:$D$57,(Master!$A$2:$A$57=$B158)*OFFSET(Master!$I$2:$I$57,0,D158-1),(Master!$A$2:$A$57=$B158)*OFFSET(Master!$L$2:$L$57,0,E158-1),(Master!$A$2:$A$57=$B158)*OFFSET(Master!$O$2:$O$57,0,F158-1))</f>
        <v>4446.9232515894646</v>
      </c>
      <c r="H158" s="7">
        <f t="shared" si="5"/>
        <v>2.1509999999999998</v>
      </c>
      <c r="I158" s="79">
        <v>30</v>
      </c>
      <c r="J158" s="78">
        <v>502</v>
      </c>
      <c r="K158" t="str">
        <f>VLOOKUP($B158&amp;1&amp;D158,Sheet3!$A$2:$E$221,5,0)</f>
        <v>버블수급 100%증가</v>
      </c>
      <c r="L158" t="str">
        <f>VLOOKUP($B158&amp;2&amp;E158,Sheet3!$A$2:$E$221,5,0)</f>
        <v>피해감소 40%</v>
      </c>
      <c r="M158" t="str">
        <f>VLOOKUP($B158&amp;3&amp;F158,Sheet3!$A$2:$E$221,5,0)</f>
        <v>5회 공격</v>
      </c>
      <c r="N158">
        <v>4.915</v>
      </c>
      <c r="O158">
        <v>7.0659999999999998</v>
      </c>
    </row>
    <row r="159" spans="1:15">
      <c r="A159" t="str">
        <f t="shared" si="4"/>
        <v>오연10222</v>
      </c>
      <c r="B159" s="16" t="s">
        <v>146</v>
      </c>
      <c r="C159" s="16">
        <v>10</v>
      </c>
      <c r="D159" s="16">
        <v>2</v>
      </c>
      <c r="E159" s="16">
        <v>2</v>
      </c>
      <c r="F159" s="16">
        <v>2</v>
      </c>
      <c r="G159" s="1">
        <f ca="1">SUMPRODUCT((Master!$A$2:$A$57=$B159)*(Master!$G$2:$G$57+공격력),(Master!$A$2:$A$57=$B159)*Master!$H$2:$H$57,(Master!$A$2:$A$57=$B159)*Master!$D$2:$D$57,(Master!$A$2:$A$57=$B159)*OFFSET(Master!$I$2:$I$57,0,D159-1),(Master!$A$2:$A$57=$B159)*OFFSET(Master!$L$2:$L$57,0,E159-1),(Master!$A$2:$A$57=$B159)*OFFSET(Master!$O$2:$O$57,0,F159-1))</f>
        <v>6439.5759554524284</v>
      </c>
      <c r="H159" s="7">
        <f t="shared" si="5"/>
        <v>2.1509999999999998</v>
      </c>
      <c r="I159" s="79">
        <v>30</v>
      </c>
      <c r="J159" s="78">
        <v>502</v>
      </c>
      <c r="K159" t="str">
        <f>VLOOKUP($B159&amp;1&amp;D159,Sheet3!$A$2:$E$221,5,0)</f>
        <v>버블수급 100%증가</v>
      </c>
      <c r="L159" t="str">
        <f>VLOOKUP($B159&amp;2&amp;E159,Sheet3!$A$2:$E$221,5,0)</f>
        <v>타격 회수당 15%씩 피해증가</v>
      </c>
      <c r="M159" t="str">
        <f>VLOOKUP($B159&amp;3&amp;F159,Sheet3!$A$2:$E$221,5,0)</f>
        <v>5회 공격</v>
      </c>
      <c r="N159">
        <v>4.915</v>
      </c>
      <c r="O159">
        <v>7.0659999999999998</v>
      </c>
    </row>
    <row r="160" spans="1:15">
      <c r="A160" t="str">
        <f t="shared" si="4"/>
        <v>오연10232</v>
      </c>
      <c r="B160" s="16" t="s">
        <v>146</v>
      </c>
      <c r="C160" s="16">
        <v>10</v>
      </c>
      <c r="D160" s="16">
        <v>2</v>
      </c>
      <c r="E160" s="16">
        <v>3</v>
      </c>
      <c r="F160" s="16">
        <v>2</v>
      </c>
      <c r="G160" s="1">
        <f ca="1">SUMPRODUCT((Master!$A$2:$A$57=$B160)*(Master!$G$2:$G$57+공격력),(Master!$A$2:$A$57=$B160)*Master!$H$2:$H$57,(Master!$A$2:$A$57=$B160)*Master!$D$2:$D$57,(Master!$A$2:$A$57=$B160)*OFFSET(Master!$I$2:$I$57,0,D160-1),(Master!$A$2:$A$57=$B160)*OFFSET(Master!$L$2:$L$57,0,E160-1),(Master!$A$2:$A$57=$B160)*OFFSET(Master!$O$2:$O$57,0,F160-1))</f>
        <v>4446.9232515894646</v>
      </c>
      <c r="H160" s="7">
        <f t="shared" si="5"/>
        <v>2.1509999999999998</v>
      </c>
      <c r="I160" s="79">
        <v>30</v>
      </c>
      <c r="J160" s="78">
        <v>502</v>
      </c>
      <c r="K160" t="str">
        <f>VLOOKUP($B160&amp;1&amp;D160,Sheet3!$A$2:$E$221,5,0)</f>
        <v>버블수급 100%증가</v>
      </c>
      <c r="L160" t="str">
        <f>VLOOKUP($B160&amp;2&amp;E160,Sheet3!$A$2:$E$221,5,0)</f>
        <v>-</v>
      </c>
      <c r="M160" t="str">
        <f>VLOOKUP($B160&amp;3&amp;F160,Sheet3!$A$2:$E$221,5,0)</f>
        <v>5회 공격</v>
      </c>
      <c r="N160">
        <v>4.915</v>
      </c>
      <c r="O160">
        <v>7.0659999999999998</v>
      </c>
    </row>
    <row r="161" spans="1:15">
      <c r="A161" t="str">
        <f t="shared" si="4"/>
        <v>오연10312</v>
      </c>
      <c r="B161" s="16" t="s">
        <v>146</v>
      </c>
      <c r="C161" s="16">
        <v>10</v>
      </c>
      <c r="D161" s="16">
        <v>3</v>
      </c>
      <c r="E161" s="16">
        <v>1</v>
      </c>
      <c r="F161" s="16">
        <v>2</v>
      </c>
      <c r="G161" s="1">
        <f ca="1">SUMPRODUCT((Master!$A$2:$A$57=$B161)*(Master!$G$2:$G$57+공격력),(Master!$A$2:$A$57=$B161)*Master!$H$2:$H$57,(Master!$A$2:$A$57=$B161)*Master!$D$2:$D$57,(Master!$A$2:$A$57=$B161)*OFFSET(Master!$I$2:$I$57,0,D161-1),(Master!$A$2:$A$57=$B161)*OFFSET(Master!$L$2:$L$57,0,E161-1),(Master!$A$2:$A$57=$B161)*OFFSET(Master!$O$2:$O$57,0,F161-1))</f>
        <v>5113.9617393278841</v>
      </c>
      <c r="H161" s="7">
        <f t="shared" si="5"/>
        <v>2.1509999999999998</v>
      </c>
      <c r="I161" s="79">
        <v>15</v>
      </c>
      <c r="J161" s="78">
        <v>502</v>
      </c>
      <c r="K161" t="str">
        <f>VLOOKUP($B161&amp;1&amp;D161,Sheet3!$A$2:$E$221,5,0)</f>
        <v>-</v>
      </c>
      <c r="L161" t="str">
        <f>VLOOKUP($B161&amp;2&amp;E161,Sheet3!$A$2:$E$221,5,0)</f>
        <v>피해감소 40%</v>
      </c>
      <c r="M161" t="str">
        <f>VLOOKUP($B161&amp;3&amp;F161,Sheet3!$A$2:$E$221,5,0)</f>
        <v>5회 공격</v>
      </c>
      <c r="N161">
        <v>4.915</v>
      </c>
      <c r="O161">
        <v>7.0659999999999998</v>
      </c>
    </row>
    <row r="162" spans="1:15">
      <c r="A162" t="str">
        <f t="shared" si="4"/>
        <v>오연10322</v>
      </c>
      <c r="B162" s="16" t="s">
        <v>146</v>
      </c>
      <c r="C162" s="16">
        <v>10</v>
      </c>
      <c r="D162" s="16">
        <v>3</v>
      </c>
      <c r="E162" s="16">
        <v>2</v>
      </c>
      <c r="F162" s="16">
        <v>2</v>
      </c>
      <c r="G162" s="1">
        <f ca="1">SUMPRODUCT((Master!$A$2:$A$57=$B162)*(Master!$G$2:$G$57+공격력),(Master!$A$2:$A$57=$B162)*Master!$H$2:$H$57,(Master!$A$2:$A$57=$B162)*Master!$D$2:$D$57,(Master!$A$2:$A$57=$B162)*OFFSET(Master!$I$2:$I$57,0,D162-1),(Master!$A$2:$A$57=$B162)*OFFSET(Master!$L$2:$L$57,0,E162-1),(Master!$A$2:$A$57=$B162)*OFFSET(Master!$O$2:$O$57,0,F162-1))</f>
        <v>7405.5123487702931</v>
      </c>
      <c r="H162" s="7">
        <f t="shared" si="5"/>
        <v>2.1509999999999998</v>
      </c>
      <c r="I162" s="79">
        <v>15</v>
      </c>
      <c r="J162" s="78">
        <v>502</v>
      </c>
      <c r="K162" t="str">
        <f>VLOOKUP($B162&amp;1&amp;D162,Sheet3!$A$2:$E$221,5,0)</f>
        <v>-</v>
      </c>
      <c r="L162" t="str">
        <f>VLOOKUP($B162&amp;2&amp;E162,Sheet3!$A$2:$E$221,5,0)</f>
        <v>타격 회수당 15%씩 피해증가</v>
      </c>
      <c r="M162" t="str">
        <f>VLOOKUP($B162&amp;3&amp;F162,Sheet3!$A$2:$E$221,5,0)</f>
        <v>5회 공격</v>
      </c>
      <c r="N162">
        <v>4.915</v>
      </c>
      <c r="O162">
        <v>7.0659999999999998</v>
      </c>
    </row>
    <row r="163" spans="1:15">
      <c r="A163" t="str">
        <f t="shared" si="4"/>
        <v>오연10332</v>
      </c>
      <c r="B163" s="16" t="s">
        <v>146</v>
      </c>
      <c r="C163" s="16">
        <v>10</v>
      </c>
      <c r="D163" s="16">
        <v>3</v>
      </c>
      <c r="E163" s="16">
        <v>3</v>
      </c>
      <c r="F163" s="16">
        <v>2</v>
      </c>
      <c r="G163" s="1">
        <f ca="1">SUMPRODUCT((Master!$A$2:$A$57=$B163)*(Master!$G$2:$G$57+공격력),(Master!$A$2:$A$57=$B163)*Master!$H$2:$H$57,(Master!$A$2:$A$57=$B163)*Master!$D$2:$D$57,(Master!$A$2:$A$57=$B163)*OFFSET(Master!$I$2:$I$57,0,D163-1),(Master!$A$2:$A$57=$B163)*OFFSET(Master!$L$2:$L$57,0,E163-1),(Master!$A$2:$A$57=$B163)*OFFSET(Master!$O$2:$O$57,0,F163-1))</f>
        <v>5113.9617393278841</v>
      </c>
      <c r="H163" s="7">
        <f t="shared" si="5"/>
        <v>2.1509999999999998</v>
      </c>
      <c r="I163" s="79">
        <v>15</v>
      </c>
      <c r="J163" s="78">
        <v>502</v>
      </c>
      <c r="K163" t="str">
        <f>VLOOKUP($B163&amp;1&amp;D163,Sheet3!$A$2:$E$221,5,0)</f>
        <v>-</v>
      </c>
      <c r="L163" t="str">
        <f>VLOOKUP($B163&amp;2&amp;E163,Sheet3!$A$2:$E$221,5,0)</f>
        <v>-</v>
      </c>
      <c r="M163" t="str">
        <f>VLOOKUP($B163&amp;3&amp;F163,Sheet3!$A$2:$E$221,5,0)</f>
        <v>5회 공격</v>
      </c>
      <c r="N163">
        <v>4.915</v>
      </c>
      <c r="O163">
        <v>7.0659999999999998</v>
      </c>
    </row>
    <row r="164" spans="1:15">
      <c r="A164" t="str">
        <f t="shared" si="4"/>
        <v>용포10111</v>
      </c>
      <c r="B164" s="16" t="s">
        <v>7</v>
      </c>
      <c r="C164" s="16">
        <v>10</v>
      </c>
      <c r="D164" s="16">
        <v>1</v>
      </c>
      <c r="E164" s="16">
        <v>1</v>
      </c>
      <c r="F164" s="16">
        <v>1</v>
      </c>
      <c r="G164" s="1">
        <f ca="1">SUMPRODUCT((Master!$A$2:$A$57=$B164)*(Master!$G$2:$G$57+공격력),(Master!$A$2:$A$57=$B164)*Master!$H$2:$H$57,(Master!$A$2:$A$57=$B164)*Master!$D$2:$D$57,(Master!$A$2:$A$57=$B164)*OFFSET(Master!$I$2:$I$57,0,D164-1),(Master!$A$2:$A$57=$B164)*OFFSET(Master!$L$2:$L$57,0,E164-1),(Master!$A$2:$A$57=$B164)*OFFSET(Master!$O$2:$O$57,0,F164-1))</f>
        <v>6099.8571428571422</v>
      </c>
      <c r="H164" s="7">
        <f t="shared" si="5"/>
        <v>1.5670000000000002</v>
      </c>
      <c r="I164" s="79">
        <v>30</v>
      </c>
      <c r="J164" s="78">
        <v>513</v>
      </c>
      <c r="K164" t="str">
        <f>VLOOKUP($B164&amp;1&amp;D164,Sheet3!$A$2:$E$221,5,0)</f>
        <v>마나소모 50%감소</v>
      </c>
      <c r="L164" t="str">
        <f>VLOOKUP($B164&amp;2&amp;E164,Sheet3!$A$2:$E$221,5,0)</f>
        <v>차지방식으로 변경. 차지 완료시 최대뎀</v>
      </c>
      <c r="M164" t="str">
        <f>VLOOKUP($B164&amp;3&amp;F164,Sheet3!$A$2:$E$221,5,0)</f>
        <v>용포가 치명타로 적중시 치깍 15%증가</v>
      </c>
      <c r="N164">
        <v>24.681000000000001</v>
      </c>
      <c r="O164">
        <v>26.248000000000001</v>
      </c>
    </row>
    <row r="165" spans="1:15">
      <c r="A165" t="str">
        <f t="shared" si="4"/>
        <v>용포10112</v>
      </c>
      <c r="B165" s="16" t="s">
        <v>7</v>
      </c>
      <c r="C165" s="16">
        <v>10</v>
      </c>
      <c r="D165" s="16">
        <v>1</v>
      </c>
      <c r="E165" s="16">
        <v>1</v>
      </c>
      <c r="F165" s="16">
        <v>2</v>
      </c>
      <c r="G165" s="1">
        <f ca="1">SUMPRODUCT((Master!$A$2:$A$57=$B165)*(Master!$G$2:$G$57+공격력),(Master!$A$2:$A$57=$B165)*Master!$H$2:$H$57,(Master!$A$2:$A$57=$B165)*Master!$D$2:$D$57,(Master!$A$2:$A$57=$B165)*OFFSET(Master!$I$2:$I$57,0,D165-1),(Master!$A$2:$A$57=$B165)*OFFSET(Master!$L$2:$L$57,0,E165-1),(Master!$A$2:$A$57=$B165)*OFFSET(Master!$O$2:$O$57,0,F165-1))</f>
        <v>6099.8571428571422</v>
      </c>
      <c r="H165" s="7">
        <f t="shared" si="5"/>
        <v>1.5670000000000002</v>
      </c>
      <c r="I165" s="79">
        <v>30</v>
      </c>
      <c r="J165" s="78">
        <v>513</v>
      </c>
      <c r="K165" t="str">
        <f>VLOOKUP($B165&amp;1&amp;D165,Sheet3!$A$2:$E$221,5,0)</f>
        <v>마나소모 50%감소</v>
      </c>
      <c r="L165" t="str">
        <f>VLOOKUP($B165&amp;2&amp;E165,Sheet3!$A$2:$E$221,5,0)</f>
        <v>차지방식으로 변경. 차지 완료시 최대뎀</v>
      </c>
      <c r="M165" t="str">
        <f>VLOOKUP($B165&amp;3&amp;F165,Sheet3!$A$2:$E$221,5,0)</f>
        <v>쿨 5초 감소</v>
      </c>
      <c r="N165">
        <v>24.681000000000001</v>
      </c>
      <c r="O165">
        <v>26.248000000000001</v>
      </c>
    </row>
    <row r="166" spans="1:15">
      <c r="A166" t="str">
        <f t="shared" si="4"/>
        <v>용포10121</v>
      </c>
      <c r="B166" s="16" t="s">
        <v>7</v>
      </c>
      <c r="C166" s="16">
        <v>10</v>
      </c>
      <c r="D166" s="16">
        <v>1</v>
      </c>
      <c r="E166" s="16">
        <v>2</v>
      </c>
      <c r="F166" s="16">
        <v>1</v>
      </c>
      <c r="G166" s="1">
        <f ca="1">SUMPRODUCT((Master!$A$2:$A$57=$B166)*(Master!$G$2:$G$57+공격력),(Master!$A$2:$A$57=$B166)*Master!$H$2:$H$57,(Master!$A$2:$A$57=$B166)*Master!$D$2:$D$57,(Master!$A$2:$A$57=$B166)*OFFSET(Master!$I$2:$I$57,0,D166-1),(Master!$A$2:$A$57=$B166)*OFFSET(Master!$L$2:$L$57,0,E166-1),(Master!$A$2:$A$57=$B166)*OFFSET(Master!$O$2:$O$57,0,F166-1))</f>
        <v>3049.9285714285711</v>
      </c>
      <c r="H166" s="7">
        <f t="shared" si="5"/>
        <v>0.56400000000000006</v>
      </c>
      <c r="I166" s="79">
        <v>30</v>
      </c>
      <c r="J166" s="78">
        <v>513</v>
      </c>
      <c r="K166" t="str">
        <f>VLOOKUP($B166&amp;1&amp;D166,Sheet3!$A$2:$E$221,5,0)</f>
        <v>마나소모 50%감소</v>
      </c>
      <c r="L166" t="str">
        <f>VLOOKUP($B166&amp;2&amp;E166,Sheet3!$A$2:$E$221,5,0)</f>
        <v>맞은 적 이속 감소 30%</v>
      </c>
      <c r="M166" t="str">
        <f>VLOOKUP($B166&amp;3&amp;F166,Sheet3!$A$2:$E$221,5,0)</f>
        <v>용포가 치명타로 적중시 치깍 15%증가</v>
      </c>
      <c r="N166">
        <v>13.381</v>
      </c>
      <c r="O166">
        <v>13.945</v>
      </c>
    </row>
    <row r="167" spans="1:15">
      <c r="A167" t="str">
        <f t="shared" si="4"/>
        <v>용포10122</v>
      </c>
      <c r="B167" s="16" t="s">
        <v>7</v>
      </c>
      <c r="C167" s="16">
        <v>10</v>
      </c>
      <c r="D167" s="16">
        <v>1</v>
      </c>
      <c r="E167" s="16">
        <v>2</v>
      </c>
      <c r="F167" s="16">
        <v>2</v>
      </c>
      <c r="G167" s="1">
        <f ca="1">SUMPRODUCT((Master!$A$2:$A$57=$B167)*(Master!$G$2:$G$57+공격력),(Master!$A$2:$A$57=$B167)*Master!$H$2:$H$57,(Master!$A$2:$A$57=$B167)*Master!$D$2:$D$57,(Master!$A$2:$A$57=$B167)*OFFSET(Master!$I$2:$I$57,0,D167-1),(Master!$A$2:$A$57=$B167)*OFFSET(Master!$L$2:$L$57,0,E167-1),(Master!$A$2:$A$57=$B167)*OFFSET(Master!$O$2:$O$57,0,F167-1))</f>
        <v>3049.9285714285711</v>
      </c>
      <c r="H167" s="7">
        <f t="shared" si="5"/>
        <v>0.56400000000000006</v>
      </c>
      <c r="I167" s="79">
        <v>30</v>
      </c>
      <c r="J167" s="78">
        <v>513</v>
      </c>
      <c r="K167" t="str">
        <f>VLOOKUP($B167&amp;1&amp;D167,Sheet3!$A$2:$E$221,5,0)</f>
        <v>마나소모 50%감소</v>
      </c>
      <c r="L167" t="str">
        <f>VLOOKUP($B167&amp;2&amp;E167,Sheet3!$A$2:$E$221,5,0)</f>
        <v>맞은 적 이속 감소 30%</v>
      </c>
      <c r="M167" t="str">
        <f>VLOOKUP($B167&amp;3&amp;F167,Sheet3!$A$2:$E$221,5,0)</f>
        <v>쿨 5초 감소</v>
      </c>
      <c r="N167">
        <v>13.381</v>
      </c>
      <c r="O167">
        <v>13.945</v>
      </c>
    </row>
    <row r="168" spans="1:15">
      <c r="A168" t="str">
        <f t="shared" si="4"/>
        <v>용포10131</v>
      </c>
      <c r="B168" s="16" t="s">
        <v>7</v>
      </c>
      <c r="C168" s="16">
        <v>10</v>
      </c>
      <c r="D168" s="16">
        <v>1</v>
      </c>
      <c r="E168" s="16">
        <v>3</v>
      </c>
      <c r="F168" s="16">
        <v>1</v>
      </c>
      <c r="G168" s="1">
        <f ca="1">SUMPRODUCT((Master!$A$2:$A$57=$B168)*(Master!$G$2:$G$57+공격력),(Master!$A$2:$A$57=$B168)*Master!$H$2:$H$57,(Master!$A$2:$A$57=$B168)*Master!$D$2:$D$57,(Master!$A$2:$A$57=$B168)*OFFSET(Master!$I$2:$I$57,0,D168-1),(Master!$A$2:$A$57=$B168)*OFFSET(Master!$L$2:$L$57,0,E168-1),(Master!$A$2:$A$57=$B168)*OFFSET(Master!$O$2:$O$57,0,F168-1))</f>
        <v>3049.9285714285711</v>
      </c>
      <c r="H168" s="7">
        <f t="shared" si="5"/>
        <v>0.56400000000000006</v>
      </c>
      <c r="I168" s="79">
        <v>30</v>
      </c>
      <c r="J168" s="78">
        <v>513</v>
      </c>
      <c r="K168" t="str">
        <f>VLOOKUP($B168&amp;1&amp;D168,Sheet3!$A$2:$E$221,5,0)</f>
        <v>마나소모 50%감소</v>
      </c>
      <c r="L168" t="str">
        <f>VLOOKUP($B168&amp;2&amp;E168,Sheet3!$A$2:$E$221,5,0)</f>
        <v>지속시간 2초증가</v>
      </c>
      <c r="M168" t="str">
        <f>VLOOKUP($B168&amp;3&amp;F168,Sheet3!$A$2:$E$221,5,0)</f>
        <v>용포가 치명타로 적중시 치깍 15%증가</v>
      </c>
      <c r="N168">
        <v>13.381</v>
      </c>
      <c r="O168">
        <v>13.945</v>
      </c>
    </row>
    <row r="169" spans="1:15">
      <c r="A169" t="str">
        <f t="shared" si="4"/>
        <v>용포10132</v>
      </c>
      <c r="B169" s="16" t="s">
        <v>7</v>
      </c>
      <c r="C169" s="16">
        <v>10</v>
      </c>
      <c r="D169" s="16">
        <v>1</v>
      </c>
      <c r="E169" s="16">
        <v>3</v>
      </c>
      <c r="F169" s="16">
        <v>2</v>
      </c>
      <c r="G169" s="1">
        <f ca="1">SUMPRODUCT((Master!$A$2:$A$57=$B169)*(Master!$G$2:$G$57+공격력),(Master!$A$2:$A$57=$B169)*Master!$H$2:$H$57,(Master!$A$2:$A$57=$B169)*Master!$D$2:$D$57,(Master!$A$2:$A$57=$B169)*OFFSET(Master!$I$2:$I$57,0,D169-1),(Master!$A$2:$A$57=$B169)*OFFSET(Master!$L$2:$L$57,0,E169-1),(Master!$A$2:$A$57=$B169)*OFFSET(Master!$O$2:$O$57,0,F169-1))</f>
        <v>3049.9285714285711</v>
      </c>
      <c r="H169" s="7">
        <f t="shared" si="5"/>
        <v>0.56400000000000006</v>
      </c>
      <c r="I169" s="79">
        <v>30</v>
      </c>
      <c r="J169" s="78">
        <v>513</v>
      </c>
      <c r="K169" t="str">
        <f>VLOOKUP($B169&amp;1&amp;D169,Sheet3!$A$2:$E$221,5,0)</f>
        <v>마나소모 50%감소</v>
      </c>
      <c r="L169" t="str">
        <f>VLOOKUP($B169&amp;2&amp;E169,Sheet3!$A$2:$E$221,5,0)</f>
        <v>지속시간 2초증가</v>
      </c>
      <c r="M169" t="str">
        <f>VLOOKUP($B169&amp;3&amp;F169,Sheet3!$A$2:$E$221,5,0)</f>
        <v>쿨 5초 감소</v>
      </c>
      <c r="N169">
        <v>13.381</v>
      </c>
      <c r="O169">
        <v>13.945</v>
      </c>
    </row>
    <row r="170" spans="1:15">
      <c r="A170" t="str">
        <f t="shared" si="4"/>
        <v>용포10211</v>
      </c>
      <c r="B170" s="16" t="s">
        <v>7</v>
      </c>
      <c r="C170" s="16">
        <v>10</v>
      </c>
      <c r="D170" s="16">
        <v>2</v>
      </c>
      <c r="E170" s="16">
        <v>1</v>
      </c>
      <c r="F170" s="16">
        <v>1</v>
      </c>
      <c r="G170" s="1">
        <f ca="1">SUMPRODUCT((Master!$A$2:$A$57=$B170)*(Master!$G$2:$G$57+공격력),(Master!$A$2:$A$57=$B170)*Master!$H$2:$H$57,(Master!$A$2:$A$57=$B170)*Master!$D$2:$D$57,(Master!$A$2:$A$57=$B170)*OFFSET(Master!$I$2:$I$57,0,D170-1),(Master!$A$2:$A$57=$B170)*OFFSET(Master!$L$2:$L$57,0,E170-1),(Master!$A$2:$A$57=$B170)*OFFSET(Master!$O$2:$O$57,0,F170-1))</f>
        <v>6099.8571428571422</v>
      </c>
      <c r="H170" s="7">
        <f t="shared" si="5"/>
        <v>1.5670000000000002</v>
      </c>
      <c r="I170" s="79">
        <v>30</v>
      </c>
      <c r="J170" s="78">
        <v>513</v>
      </c>
      <c r="K170" t="str">
        <f>VLOOKUP($B170&amp;1&amp;D170,Sheet3!$A$2:$E$221,5,0)</f>
        <v>공격범위 20%증가</v>
      </c>
      <c r="L170" t="str">
        <f>VLOOKUP($B170&amp;2&amp;E170,Sheet3!$A$2:$E$221,5,0)</f>
        <v>차지방식으로 변경. 차지 완료시 최대뎀</v>
      </c>
      <c r="M170" t="str">
        <f>VLOOKUP($B170&amp;3&amp;F170,Sheet3!$A$2:$E$221,5,0)</f>
        <v>용포가 치명타로 적중시 치깍 15%증가</v>
      </c>
      <c r="N170">
        <v>24.681000000000001</v>
      </c>
      <c r="O170">
        <v>26.248000000000001</v>
      </c>
    </row>
    <row r="171" spans="1:15">
      <c r="A171" t="str">
        <f t="shared" si="4"/>
        <v>용포10212</v>
      </c>
      <c r="B171" s="16" t="s">
        <v>7</v>
      </c>
      <c r="C171" s="16">
        <v>10</v>
      </c>
      <c r="D171" s="16">
        <v>2</v>
      </c>
      <c r="E171" s="16">
        <v>1</v>
      </c>
      <c r="F171" s="16">
        <v>2</v>
      </c>
      <c r="G171" s="1">
        <f ca="1">SUMPRODUCT((Master!$A$2:$A$57=$B171)*(Master!$G$2:$G$57+공격력),(Master!$A$2:$A$57=$B171)*Master!$H$2:$H$57,(Master!$A$2:$A$57=$B171)*Master!$D$2:$D$57,(Master!$A$2:$A$57=$B171)*OFFSET(Master!$I$2:$I$57,0,D171-1),(Master!$A$2:$A$57=$B171)*OFFSET(Master!$L$2:$L$57,0,E171-1),(Master!$A$2:$A$57=$B171)*OFFSET(Master!$O$2:$O$57,0,F171-1))</f>
        <v>6099.8571428571422</v>
      </c>
      <c r="H171" s="7">
        <f t="shared" si="5"/>
        <v>1.5670000000000002</v>
      </c>
      <c r="I171" s="79">
        <v>30</v>
      </c>
      <c r="J171" s="78">
        <v>513</v>
      </c>
      <c r="K171" t="str">
        <f>VLOOKUP($B171&amp;1&amp;D171,Sheet3!$A$2:$E$221,5,0)</f>
        <v>공격범위 20%증가</v>
      </c>
      <c r="L171" t="str">
        <f>VLOOKUP($B171&amp;2&amp;E171,Sheet3!$A$2:$E$221,5,0)</f>
        <v>차지방식으로 변경. 차지 완료시 최대뎀</v>
      </c>
      <c r="M171" t="str">
        <f>VLOOKUP($B171&amp;3&amp;F171,Sheet3!$A$2:$E$221,5,0)</f>
        <v>쿨 5초 감소</v>
      </c>
      <c r="N171">
        <v>24.681000000000001</v>
      </c>
      <c r="O171">
        <v>26.248000000000001</v>
      </c>
    </row>
    <row r="172" spans="1:15">
      <c r="A172" t="str">
        <f t="shared" si="4"/>
        <v>용포10221</v>
      </c>
      <c r="B172" s="16" t="s">
        <v>7</v>
      </c>
      <c r="C172" s="16">
        <v>10</v>
      </c>
      <c r="D172" s="16">
        <v>2</v>
      </c>
      <c r="E172" s="16">
        <v>2</v>
      </c>
      <c r="F172" s="16">
        <v>1</v>
      </c>
      <c r="G172" s="1">
        <f ca="1">SUMPRODUCT((Master!$A$2:$A$57=$B172)*(Master!$G$2:$G$57+공격력),(Master!$A$2:$A$57=$B172)*Master!$H$2:$H$57,(Master!$A$2:$A$57=$B172)*Master!$D$2:$D$57,(Master!$A$2:$A$57=$B172)*OFFSET(Master!$I$2:$I$57,0,D172-1),(Master!$A$2:$A$57=$B172)*OFFSET(Master!$L$2:$L$57,0,E172-1),(Master!$A$2:$A$57=$B172)*OFFSET(Master!$O$2:$O$57,0,F172-1))</f>
        <v>3049.9285714285711</v>
      </c>
      <c r="H172" s="7">
        <f t="shared" si="5"/>
        <v>0.56400000000000006</v>
      </c>
      <c r="I172" s="79">
        <v>30</v>
      </c>
      <c r="J172" s="78">
        <v>513</v>
      </c>
      <c r="K172" t="str">
        <f>VLOOKUP($B172&amp;1&amp;D172,Sheet3!$A$2:$E$221,5,0)</f>
        <v>공격범위 20%증가</v>
      </c>
      <c r="L172" t="str">
        <f>VLOOKUP($B172&amp;2&amp;E172,Sheet3!$A$2:$E$221,5,0)</f>
        <v>맞은 적 이속 감소 30%</v>
      </c>
      <c r="M172" t="str">
        <f>VLOOKUP($B172&amp;3&amp;F172,Sheet3!$A$2:$E$221,5,0)</f>
        <v>용포가 치명타로 적중시 치깍 15%증가</v>
      </c>
      <c r="N172">
        <v>13.381</v>
      </c>
      <c r="O172">
        <v>13.945</v>
      </c>
    </row>
    <row r="173" spans="1:15">
      <c r="A173" t="str">
        <f t="shared" si="4"/>
        <v>용포10222</v>
      </c>
      <c r="B173" s="16" t="s">
        <v>7</v>
      </c>
      <c r="C173" s="16">
        <v>10</v>
      </c>
      <c r="D173" s="16">
        <v>2</v>
      </c>
      <c r="E173" s="16">
        <v>2</v>
      </c>
      <c r="F173" s="16">
        <v>2</v>
      </c>
      <c r="G173" s="1">
        <f ca="1">SUMPRODUCT((Master!$A$2:$A$57=$B173)*(Master!$G$2:$G$57+공격력),(Master!$A$2:$A$57=$B173)*Master!$H$2:$H$57,(Master!$A$2:$A$57=$B173)*Master!$D$2:$D$57,(Master!$A$2:$A$57=$B173)*OFFSET(Master!$I$2:$I$57,0,D173-1),(Master!$A$2:$A$57=$B173)*OFFSET(Master!$L$2:$L$57,0,E173-1),(Master!$A$2:$A$57=$B173)*OFFSET(Master!$O$2:$O$57,0,F173-1))</f>
        <v>3049.9285714285711</v>
      </c>
      <c r="H173" s="7">
        <f t="shared" si="5"/>
        <v>0.56400000000000006</v>
      </c>
      <c r="I173" s="79">
        <v>30</v>
      </c>
      <c r="J173" s="78">
        <v>513</v>
      </c>
      <c r="K173" t="str">
        <f>VLOOKUP($B173&amp;1&amp;D173,Sheet3!$A$2:$E$221,5,0)</f>
        <v>공격범위 20%증가</v>
      </c>
      <c r="L173" t="str">
        <f>VLOOKUP($B173&amp;2&amp;E173,Sheet3!$A$2:$E$221,5,0)</f>
        <v>맞은 적 이속 감소 30%</v>
      </c>
      <c r="M173" t="str">
        <f>VLOOKUP($B173&amp;3&amp;F173,Sheet3!$A$2:$E$221,5,0)</f>
        <v>쿨 5초 감소</v>
      </c>
      <c r="N173">
        <v>13.381</v>
      </c>
      <c r="O173">
        <v>13.945</v>
      </c>
    </row>
    <row r="174" spans="1:15">
      <c r="A174" t="str">
        <f t="shared" si="4"/>
        <v>용포10231</v>
      </c>
      <c r="B174" s="16" t="s">
        <v>7</v>
      </c>
      <c r="C174" s="16">
        <v>10</v>
      </c>
      <c r="D174" s="16">
        <v>2</v>
      </c>
      <c r="E174" s="16">
        <v>3</v>
      </c>
      <c r="F174" s="16">
        <v>1</v>
      </c>
      <c r="G174" s="1">
        <f ca="1">SUMPRODUCT((Master!$A$2:$A$57=$B174)*(Master!$G$2:$G$57+공격력),(Master!$A$2:$A$57=$B174)*Master!$H$2:$H$57,(Master!$A$2:$A$57=$B174)*Master!$D$2:$D$57,(Master!$A$2:$A$57=$B174)*OFFSET(Master!$I$2:$I$57,0,D174-1),(Master!$A$2:$A$57=$B174)*OFFSET(Master!$L$2:$L$57,0,E174-1),(Master!$A$2:$A$57=$B174)*OFFSET(Master!$O$2:$O$57,0,F174-1))</f>
        <v>3049.9285714285711</v>
      </c>
      <c r="H174" s="7">
        <f t="shared" si="5"/>
        <v>0.56400000000000006</v>
      </c>
      <c r="I174" s="79">
        <v>30</v>
      </c>
      <c r="J174" s="78">
        <v>513</v>
      </c>
      <c r="K174" t="str">
        <f>VLOOKUP($B174&amp;1&amp;D174,Sheet3!$A$2:$E$221,5,0)</f>
        <v>공격범위 20%증가</v>
      </c>
      <c r="L174" t="str">
        <f>VLOOKUP($B174&amp;2&amp;E174,Sheet3!$A$2:$E$221,5,0)</f>
        <v>지속시간 2초증가</v>
      </c>
      <c r="M174" t="str">
        <f>VLOOKUP($B174&amp;3&amp;F174,Sheet3!$A$2:$E$221,5,0)</f>
        <v>용포가 치명타로 적중시 치깍 15%증가</v>
      </c>
      <c r="N174">
        <v>13.381</v>
      </c>
      <c r="O174">
        <v>13.945</v>
      </c>
    </row>
    <row r="175" spans="1:15">
      <c r="A175" t="str">
        <f t="shared" si="4"/>
        <v>용포10232</v>
      </c>
      <c r="B175" s="16" t="s">
        <v>7</v>
      </c>
      <c r="C175" s="16">
        <v>10</v>
      </c>
      <c r="D175" s="16">
        <v>2</v>
      </c>
      <c r="E175" s="16">
        <v>3</v>
      </c>
      <c r="F175" s="16">
        <v>2</v>
      </c>
      <c r="G175" s="1">
        <f ca="1">SUMPRODUCT((Master!$A$2:$A$57=$B175)*(Master!$G$2:$G$57+공격력),(Master!$A$2:$A$57=$B175)*Master!$H$2:$H$57,(Master!$A$2:$A$57=$B175)*Master!$D$2:$D$57,(Master!$A$2:$A$57=$B175)*OFFSET(Master!$I$2:$I$57,0,D175-1),(Master!$A$2:$A$57=$B175)*OFFSET(Master!$L$2:$L$57,0,E175-1),(Master!$A$2:$A$57=$B175)*OFFSET(Master!$O$2:$O$57,0,F175-1))</f>
        <v>3049.9285714285711</v>
      </c>
      <c r="H175" s="7">
        <f t="shared" si="5"/>
        <v>0.56400000000000006</v>
      </c>
      <c r="I175" s="79">
        <v>30</v>
      </c>
      <c r="J175" s="78">
        <v>513</v>
      </c>
      <c r="K175" t="str">
        <f>VLOOKUP($B175&amp;1&amp;D175,Sheet3!$A$2:$E$221,5,0)</f>
        <v>공격범위 20%증가</v>
      </c>
      <c r="L175" t="str">
        <f>VLOOKUP($B175&amp;2&amp;E175,Sheet3!$A$2:$E$221,5,0)</f>
        <v>지속시간 2초증가</v>
      </c>
      <c r="M175" t="str">
        <f>VLOOKUP($B175&amp;3&amp;F175,Sheet3!$A$2:$E$221,5,0)</f>
        <v>쿨 5초 감소</v>
      </c>
      <c r="N175">
        <v>13.381</v>
      </c>
      <c r="O175">
        <v>13.945</v>
      </c>
    </row>
    <row r="176" spans="1:15">
      <c r="A176" t="str">
        <f t="shared" si="4"/>
        <v>용포10311</v>
      </c>
      <c r="B176" s="16" t="s">
        <v>7</v>
      </c>
      <c r="C176" s="16">
        <v>10</v>
      </c>
      <c r="D176" s="16">
        <v>3</v>
      </c>
      <c r="E176" s="16">
        <v>1</v>
      </c>
      <c r="F176" s="16">
        <v>1</v>
      </c>
      <c r="G176" s="1">
        <f ca="1">SUMPRODUCT((Master!$A$2:$A$57=$B176)*(Master!$G$2:$G$57+공격력),(Master!$A$2:$A$57=$B176)*Master!$H$2:$H$57,(Master!$A$2:$A$57=$B176)*Master!$D$2:$D$57,(Master!$A$2:$A$57=$B176)*OFFSET(Master!$I$2:$I$57,0,D176-1),(Master!$A$2:$A$57=$B176)*OFFSET(Master!$L$2:$L$57,0,E176-1),(Master!$A$2:$A$57=$B176)*OFFSET(Master!$O$2:$O$57,0,F176-1))</f>
        <v>6099.8571428571422</v>
      </c>
      <c r="H176" s="7">
        <f t="shared" si="5"/>
        <v>1.5670000000000002</v>
      </c>
      <c r="I176" s="79">
        <v>38</v>
      </c>
      <c r="J176" s="78">
        <v>513</v>
      </c>
      <c r="K176" t="str">
        <f>VLOOKUP($B176&amp;1&amp;D176,Sheet3!$A$2:$E$221,5,0)</f>
        <v>버블수급 25%증가</v>
      </c>
      <c r="L176" t="str">
        <f>VLOOKUP($B176&amp;2&amp;E176,Sheet3!$A$2:$E$221,5,0)</f>
        <v>차지방식으로 변경. 차지 완료시 최대뎀</v>
      </c>
      <c r="M176" t="str">
        <f>VLOOKUP($B176&amp;3&amp;F176,Sheet3!$A$2:$E$221,5,0)</f>
        <v>용포가 치명타로 적중시 치깍 15%증가</v>
      </c>
      <c r="N176">
        <v>24.681000000000001</v>
      </c>
      <c r="O176">
        <v>26.248000000000001</v>
      </c>
    </row>
    <row r="177" spans="1:15">
      <c r="A177" t="str">
        <f t="shared" si="4"/>
        <v>용포10312</v>
      </c>
      <c r="B177" s="16" t="s">
        <v>7</v>
      </c>
      <c r="C177" s="16">
        <v>10</v>
      </c>
      <c r="D177" s="16">
        <v>3</v>
      </c>
      <c r="E177" s="16">
        <v>1</v>
      </c>
      <c r="F177" s="16">
        <v>2</v>
      </c>
      <c r="G177" s="1">
        <f ca="1">SUMPRODUCT((Master!$A$2:$A$57=$B177)*(Master!$G$2:$G$57+공격력),(Master!$A$2:$A$57=$B177)*Master!$H$2:$H$57,(Master!$A$2:$A$57=$B177)*Master!$D$2:$D$57,(Master!$A$2:$A$57=$B177)*OFFSET(Master!$I$2:$I$57,0,D177-1),(Master!$A$2:$A$57=$B177)*OFFSET(Master!$L$2:$L$57,0,E177-1),(Master!$A$2:$A$57=$B177)*OFFSET(Master!$O$2:$O$57,0,F177-1))</f>
        <v>6099.8571428571422</v>
      </c>
      <c r="H177" s="7">
        <f t="shared" si="5"/>
        <v>1.5670000000000002</v>
      </c>
      <c r="I177" s="79">
        <v>38</v>
      </c>
      <c r="J177" s="78">
        <v>513</v>
      </c>
      <c r="K177" t="str">
        <f>VLOOKUP($B177&amp;1&amp;D177,Sheet3!$A$2:$E$221,5,0)</f>
        <v>버블수급 25%증가</v>
      </c>
      <c r="L177" t="str">
        <f>VLOOKUP($B177&amp;2&amp;E177,Sheet3!$A$2:$E$221,5,0)</f>
        <v>차지방식으로 변경. 차지 완료시 최대뎀</v>
      </c>
      <c r="M177" t="str">
        <f>VLOOKUP($B177&amp;3&amp;F177,Sheet3!$A$2:$E$221,5,0)</f>
        <v>쿨 5초 감소</v>
      </c>
      <c r="N177">
        <v>24.681000000000001</v>
      </c>
      <c r="O177">
        <v>26.248000000000001</v>
      </c>
    </row>
    <row r="178" spans="1:15">
      <c r="A178" t="str">
        <f t="shared" si="4"/>
        <v>용포10321</v>
      </c>
      <c r="B178" s="16" t="s">
        <v>7</v>
      </c>
      <c r="C178" s="16">
        <v>10</v>
      </c>
      <c r="D178" s="16">
        <v>3</v>
      </c>
      <c r="E178" s="16">
        <v>2</v>
      </c>
      <c r="F178" s="16">
        <v>1</v>
      </c>
      <c r="G178" s="1">
        <f ca="1">SUMPRODUCT((Master!$A$2:$A$57=$B178)*(Master!$G$2:$G$57+공격력),(Master!$A$2:$A$57=$B178)*Master!$H$2:$H$57,(Master!$A$2:$A$57=$B178)*Master!$D$2:$D$57,(Master!$A$2:$A$57=$B178)*OFFSET(Master!$I$2:$I$57,0,D178-1),(Master!$A$2:$A$57=$B178)*OFFSET(Master!$L$2:$L$57,0,E178-1),(Master!$A$2:$A$57=$B178)*OFFSET(Master!$O$2:$O$57,0,F178-1))</f>
        <v>3049.9285714285711</v>
      </c>
      <c r="H178" s="7">
        <f t="shared" si="5"/>
        <v>0.56400000000000006</v>
      </c>
      <c r="I178" s="79">
        <v>38</v>
      </c>
      <c r="J178" s="78">
        <v>513</v>
      </c>
      <c r="K178" t="str">
        <f>VLOOKUP($B178&amp;1&amp;D178,Sheet3!$A$2:$E$221,5,0)</f>
        <v>버블수급 25%증가</v>
      </c>
      <c r="L178" t="str">
        <f>VLOOKUP($B178&amp;2&amp;E178,Sheet3!$A$2:$E$221,5,0)</f>
        <v>맞은 적 이속 감소 30%</v>
      </c>
      <c r="M178" t="str">
        <f>VLOOKUP($B178&amp;3&amp;F178,Sheet3!$A$2:$E$221,5,0)</f>
        <v>용포가 치명타로 적중시 치깍 15%증가</v>
      </c>
      <c r="N178">
        <v>13.381</v>
      </c>
      <c r="O178">
        <v>13.945</v>
      </c>
    </row>
    <row r="179" spans="1:15">
      <c r="A179" t="str">
        <f t="shared" si="4"/>
        <v>용포10322</v>
      </c>
      <c r="B179" s="16" t="s">
        <v>7</v>
      </c>
      <c r="C179" s="16">
        <v>10</v>
      </c>
      <c r="D179" s="16">
        <v>3</v>
      </c>
      <c r="E179" s="16">
        <v>2</v>
      </c>
      <c r="F179" s="16">
        <v>2</v>
      </c>
      <c r="G179" s="1">
        <f ca="1">SUMPRODUCT((Master!$A$2:$A$57=$B179)*(Master!$G$2:$G$57+공격력),(Master!$A$2:$A$57=$B179)*Master!$H$2:$H$57,(Master!$A$2:$A$57=$B179)*Master!$D$2:$D$57,(Master!$A$2:$A$57=$B179)*OFFSET(Master!$I$2:$I$57,0,D179-1),(Master!$A$2:$A$57=$B179)*OFFSET(Master!$L$2:$L$57,0,E179-1),(Master!$A$2:$A$57=$B179)*OFFSET(Master!$O$2:$O$57,0,F179-1))</f>
        <v>3049.9285714285711</v>
      </c>
      <c r="H179" s="7">
        <f t="shared" si="5"/>
        <v>0.56400000000000006</v>
      </c>
      <c r="I179" s="79">
        <v>38</v>
      </c>
      <c r="J179" s="78">
        <v>513</v>
      </c>
      <c r="K179" t="str">
        <f>VLOOKUP($B179&amp;1&amp;D179,Sheet3!$A$2:$E$221,5,0)</f>
        <v>버블수급 25%증가</v>
      </c>
      <c r="L179" t="str">
        <f>VLOOKUP($B179&amp;2&amp;E179,Sheet3!$A$2:$E$221,5,0)</f>
        <v>맞은 적 이속 감소 30%</v>
      </c>
      <c r="M179" t="str">
        <f>VLOOKUP($B179&amp;3&amp;F179,Sheet3!$A$2:$E$221,5,0)</f>
        <v>쿨 5초 감소</v>
      </c>
      <c r="N179">
        <v>13.381</v>
      </c>
      <c r="O179">
        <v>13.945</v>
      </c>
    </row>
    <row r="180" spans="1:15">
      <c r="A180" t="str">
        <f t="shared" si="4"/>
        <v>용포10331</v>
      </c>
      <c r="B180" s="16" t="s">
        <v>7</v>
      </c>
      <c r="C180" s="16">
        <v>10</v>
      </c>
      <c r="D180" s="16">
        <v>3</v>
      </c>
      <c r="E180" s="16">
        <v>3</v>
      </c>
      <c r="F180" s="16">
        <v>1</v>
      </c>
      <c r="G180" s="1">
        <f ca="1">SUMPRODUCT((Master!$A$2:$A$57=$B180)*(Master!$G$2:$G$57+공격력),(Master!$A$2:$A$57=$B180)*Master!$H$2:$H$57,(Master!$A$2:$A$57=$B180)*Master!$D$2:$D$57,(Master!$A$2:$A$57=$B180)*OFFSET(Master!$I$2:$I$57,0,D180-1),(Master!$A$2:$A$57=$B180)*OFFSET(Master!$L$2:$L$57,0,E180-1),(Master!$A$2:$A$57=$B180)*OFFSET(Master!$O$2:$O$57,0,F180-1))</f>
        <v>3049.9285714285711</v>
      </c>
      <c r="H180" s="7">
        <f t="shared" si="5"/>
        <v>0.56400000000000006</v>
      </c>
      <c r="I180" s="79">
        <v>38</v>
      </c>
      <c r="J180" s="78">
        <v>513</v>
      </c>
      <c r="K180" t="str">
        <f>VLOOKUP($B180&amp;1&amp;D180,Sheet3!$A$2:$E$221,5,0)</f>
        <v>버블수급 25%증가</v>
      </c>
      <c r="L180" t="str">
        <f>VLOOKUP($B180&amp;2&amp;E180,Sheet3!$A$2:$E$221,5,0)</f>
        <v>지속시간 2초증가</v>
      </c>
      <c r="M180" t="str">
        <f>VLOOKUP($B180&amp;3&amp;F180,Sheet3!$A$2:$E$221,5,0)</f>
        <v>용포가 치명타로 적중시 치깍 15%증가</v>
      </c>
      <c r="N180">
        <v>13.381</v>
      </c>
      <c r="O180">
        <v>13.945</v>
      </c>
    </row>
    <row r="181" spans="1:15">
      <c r="A181" t="str">
        <f t="shared" si="4"/>
        <v>용포10332</v>
      </c>
      <c r="B181" s="16" t="s">
        <v>7</v>
      </c>
      <c r="C181" s="16">
        <v>10</v>
      </c>
      <c r="D181" s="16">
        <v>3</v>
      </c>
      <c r="E181" s="16">
        <v>3</v>
      </c>
      <c r="F181" s="16">
        <v>2</v>
      </c>
      <c r="G181" s="1">
        <f ca="1">SUMPRODUCT((Master!$A$2:$A$57=$B181)*(Master!$G$2:$G$57+공격력),(Master!$A$2:$A$57=$B181)*Master!$H$2:$H$57,(Master!$A$2:$A$57=$B181)*Master!$D$2:$D$57,(Master!$A$2:$A$57=$B181)*OFFSET(Master!$I$2:$I$57,0,D181-1),(Master!$A$2:$A$57=$B181)*OFFSET(Master!$L$2:$L$57,0,E181-1),(Master!$A$2:$A$57=$B181)*OFFSET(Master!$O$2:$O$57,0,F181-1))</f>
        <v>3049.9285714285711</v>
      </c>
      <c r="H181" s="7">
        <f t="shared" si="5"/>
        <v>0.56400000000000006</v>
      </c>
      <c r="I181" s="79">
        <v>38</v>
      </c>
      <c r="J181" s="78">
        <v>513</v>
      </c>
      <c r="K181" t="str">
        <f>VLOOKUP($B181&amp;1&amp;D181,Sheet3!$A$2:$E$221,5,0)</f>
        <v>버블수급 25%증가</v>
      </c>
      <c r="L181" t="str">
        <f>VLOOKUP($B181&amp;2&amp;E181,Sheet3!$A$2:$E$221,5,0)</f>
        <v>지속시간 2초증가</v>
      </c>
      <c r="M181" t="str">
        <f>VLOOKUP($B181&amp;3&amp;F181,Sheet3!$A$2:$E$221,5,0)</f>
        <v>쿨 5초 감소</v>
      </c>
      <c r="N181">
        <v>13.381</v>
      </c>
      <c r="O181">
        <v>13.945</v>
      </c>
    </row>
    <row r="182" spans="1:15">
      <c r="A182" t="str">
        <f t="shared" si="4"/>
        <v>월섬10111</v>
      </c>
      <c r="B182" s="16" t="s">
        <v>4</v>
      </c>
      <c r="C182" s="16">
        <v>10</v>
      </c>
      <c r="D182" s="16">
        <v>1</v>
      </c>
      <c r="E182" s="16">
        <v>1</v>
      </c>
      <c r="F182" s="16">
        <v>1</v>
      </c>
      <c r="G182" s="1">
        <f ca="1">SUMPRODUCT((Master!$A$2:$A$57=$B182)*(Master!$G$2:$G$57+공격력),(Master!$A$2:$A$57=$B182)*Master!$H$2:$H$57,(Master!$A$2:$A$57=$B182)*Master!$D$2:$D$57,(Master!$A$2:$A$57=$B182)*OFFSET(Master!$I$2:$I$57,0,D182-1),(Master!$A$2:$A$57=$B182)*OFFSET(Master!$L$2:$L$57,0,E182-1),(Master!$A$2:$A$57=$B182)*OFFSET(Master!$O$2:$O$57,0,F182-1))</f>
        <v>7254.6646555079797</v>
      </c>
      <c r="H182" s="7">
        <f t="shared" si="5"/>
        <v>2.8510000000000009</v>
      </c>
      <c r="I182" s="79">
        <v>39</v>
      </c>
      <c r="J182" s="78">
        <v>490</v>
      </c>
      <c r="K182" t="str">
        <f>VLOOKUP($B182&amp;1&amp;D182,Sheet3!$A$2:$E$221,5,0)</f>
        <v>화속성, 발차기 4회 적중시 화상 5초(기본딜의 24% 추정. 치명,단일타격 미적용)</v>
      </c>
      <c r="L182" t="str">
        <f>VLOOKUP($B182&amp;2&amp;E182,Sheet3!$A$2:$E$221,5,0)</f>
        <v>첫타 이동거리 3m증가, 쿨 3초 감소</v>
      </c>
      <c r="M182" t="str">
        <f>VLOOKUP($B182&amp;3&amp;F182,Sheet3!$A$2:$E$221,5,0)</f>
        <v>공격형태 변경. 2초 홀딩. 발차기2를 7x2회 타격.</v>
      </c>
      <c r="N182">
        <v>14.930999999999999</v>
      </c>
      <c r="O182">
        <v>17.782</v>
      </c>
    </row>
    <row r="183" spans="1:15">
      <c r="A183" t="str">
        <f t="shared" si="4"/>
        <v>월섬10112</v>
      </c>
      <c r="B183" s="16" t="s">
        <v>4</v>
      </c>
      <c r="C183" s="16">
        <v>10</v>
      </c>
      <c r="D183" s="16">
        <v>1</v>
      </c>
      <c r="E183" s="16">
        <v>1</v>
      </c>
      <c r="F183" s="16">
        <v>2</v>
      </c>
      <c r="G183" s="1">
        <f ca="1">SUMPRODUCT((Master!$A$2:$A$57=$B183)*(Master!$G$2:$G$57+공격력),(Master!$A$2:$A$57=$B183)*Master!$H$2:$H$57,(Master!$A$2:$A$57=$B183)*Master!$D$2:$D$57,(Master!$A$2:$A$57=$B183)*OFFSET(Master!$I$2:$I$57,0,D183-1),(Master!$A$2:$A$57=$B183)*OFFSET(Master!$L$2:$L$57,0,E183-1),(Master!$A$2:$A$57=$B183)*OFFSET(Master!$O$2:$O$57,0,F183-1))</f>
        <v>9391.1152049585271</v>
      </c>
      <c r="H183" s="7">
        <f t="shared" si="5"/>
        <v>1.6159999999999997</v>
      </c>
      <c r="I183" s="79">
        <v>28</v>
      </c>
      <c r="J183" s="78">
        <v>479</v>
      </c>
      <c r="K183" t="str">
        <f>VLOOKUP($B183&amp;1&amp;D183,Sheet3!$A$2:$E$221,5,0)</f>
        <v>화속성, 발차기 4회 적중시 화상 5초(기본딜의 24% 추정. 치명,단일타격 미적용)</v>
      </c>
      <c r="L183" t="str">
        <f>VLOOKUP($B183&amp;2&amp;E183,Sheet3!$A$2:$E$221,5,0)</f>
        <v>첫타 이동거리 3m증가, 쿨 3초 감소</v>
      </c>
      <c r="M183" t="str">
        <f>VLOOKUP($B183&amp;3&amp;F183,Sheet3!$A$2:$E$221,5,0)</f>
        <v>일반스킬로 변경, 막타 피해 250%증가, 피해증가량 200%인것으로 추정됨</v>
      </c>
      <c r="N183">
        <v>11.699</v>
      </c>
      <c r="O183">
        <v>13.315</v>
      </c>
    </row>
    <row r="184" spans="1:15">
      <c r="A184" t="str">
        <f t="shared" si="4"/>
        <v>월섬10121</v>
      </c>
      <c r="B184" s="16" t="s">
        <v>4</v>
      </c>
      <c r="C184" s="16">
        <v>10</v>
      </c>
      <c r="D184" s="16">
        <v>1</v>
      </c>
      <c r="E184" s="16">
        <v>2</v>
      </c>
      <c r="F184" s="16">
        <v>1</v>
      </c>
      <c r="G184" s="1">
        <f ca="1">SUMPRODUCT((Master!$A$2:$A$57=$B184)*(Master!$G$2:$G$57+공격력),(Master!$A$2:$A$57=$B184)*Master!$H$2:$H$57,(Master!$A$2:$A$57=$B184)*Master!$D$2:$D$57,(Master!$A$2:$A$57=$B184)*OFFSET(Master!$I$2:$I$57,0,D184-1),(Master!$A$2:$A$57=$B184)*OFFSET(Master!$L$2:$L$57,0,E184-1),(Master!$A$2:$A$57=$B184)*OFFSET(Master!$O$2:$O$57,0,F184-1))</f>
        <v>13003.318501661824</v>
      </c>
      <c r="H184" s="7">
        <f t="shared" si="5"/>
        <v>2.8510000000000009</v>
      </c>
      <c r="I184" s="79">
        <v>39</v>
      </c>
      <c r="J184" s="78">
        <v>457</v>
      </c>
      <c r="K184" t="str">
        <f>VLOOKUP($B184&amp;1&amp;D184,Sheet3!$A$2:$E$221,5,0)</f>
        <v>화속성, 발차기 4회 적중시 화상 5초(기본딜의 24% 추정. 치명,단일타격 미적용)</v>
      </c>
      <c r="L184" t="str">
        <f>VLOOKUP($B184&amp;2&amp;E184,Sheet3!$A$2:$E$221,5,0)</f>
        <v>공격범위 30%증가, 발차기2의 타수 두배</v>
      </c>
      <c r="M184" t="str">
        <f>VLOOKUP($B184&amp;3&amp;F184,Sheet3!$A$2:$E$221,5,0)</f>
        <v>공격형태 변경. 2초 홀딩. 발차기2를 7x2회 타격.</v>
      </c>
      <c r="N184">
        <v>14.930999999999999</v>
      </c>
      <c r="O184">
        <v>17.782</v>
      </c>
    </row>
    <row r="185" spans="1:15">
      <c r="A185" t="str">
        <f t="shared" si="4"/>
        <v>월섬10122</v>
      </c>
      <c r="B185" s="16" t="s">
        <v>4</v>
      </c>
      <c r="C185" s="16">
        <v>10</v>
      </c>
      <c r="D185" s="16">
        <v>1</v>
      </c>
      <c r="E185" s="16">
        <v>2</v>
      </c>
      <c r="F185" s="16">
        <v>2</v>
      </c>
      <c r="G185" s="1">
        <f ca="1">SUMPRODUCT((Master!$A$2:$A$57=$B185)*(Master!$G$2:$G$57+공격력),(Master!$A$2:$A$57=$B185)*Master!$H$2:$H$57,(Master!$A$2:$A$57=$B185)*Master!$D$2:$D$57,(Master!$A$2:$A$57=$B185)*OFFSET(Master!$I$2:$I$57,0,D185-1),(Master!$A$2:$A$57=$B185)*OFFSET(Master!$L$2:$L$57,0,E185-1),(Master!$A$2:$A$57=$B185)*OFFSET(Master!$O$2:$O$57,0,F185-1))</f>
        <v>9391.1152049585271</v>
      </c>
      <c r="H185" s="7">
        <f t="shared" si="5"/>
        <v>1.6159999999999997</v>
      </c>
      <c r="I185" s="79">
        <v>28</v>
      </c>
      <c r="J185" s="78">
        <v>479</v>
      </c>
      <c r="K185" t="str">
        <f>VLOOKUP($B185&amp;1&amp;D185,Sheet3!$A$2:$E$221,5,0)</f>
        <v>화속성, 발차기 4회 적중시 화상 5초(기본딜의 24% 추정. 치명,단일타격 미적용)</v>
      </c>
      <c r="L185" t="str">
        <f>VLOOKUP($B185&amp;2&amp;E185,Sheet3!$A$2:$E$221,5,0)</f>
        <v>공격범위 30%증가, 발차기2의 타수 두배</v>
      </c>
      <c r="M185" t="str">
        <f>VLOOKUP($B185&amp;3&amp;F185,Sheet3!$A$2:$E$221,5,0)</f>
        <v>일반스킬로 변경, 막타 피해 250%증가, 피해증가량 200%인것으로 추정됨</v>
      </c>
      <c r="N185">
        <v>11.699</v>
      </c>
      <c r="O185">
        <v>13.315</v>
      </c>
    </row>
    <row r="186" spans="1:15">
      <c r="A186" t="str">
        <f t="shared" si="4"/>
        <v>월섬10131</v>
      </c>
      <c r="B186" s="16" t="s">
        <v>4</v>
      </c>
      <c r="C186" s="16">
        <v>10</v>
      </c>
      <c r="D186" s="16">
        <v>1</v>
      </c>
      <c r="E186" s="16">
        <v>3</v>
      </c>
      <c r="F186" s="16">
        <v>1</v>
      </c>
      <c r="G186" s="1">
        <f ca="1">SUMPRODUCT((Master!$A$2:$A$57=$B186)*(Master!$G$2:$G$57+공격력),(Master!$A$2:$A$57=$B186)*Master!$H$2:$H$57,(Master!$A$2:$A$57=$B186)*Master!$D$2:$D$57,(Master!$A$2:$A$57=$B186)*OFFSET(Master!$I$2:$I$57,0,D186-1),(Master!$A$2:$A$57=$B186)*OFFSET(Master!$L$2:$L$57,0,E186-1),(Master!$A$2:$A$57=$B186)*OFFSET(Master!$O$2:$O$57,0,F186-1))</f>
        <v>10881.996983261968</v>
      </c>
      <c r="H186" s="7">
        <f t="shared" si="5"/>
        <v>2.8510000000000009</v>
      </c>
      <c r="I186" s="79">
        <v>39</v>
      </c>
      <c r="J186" s="78">
        <v>490</v>
      </c>
      <c r="K186" t="str">
        <f>VLOOKUP($B186&amp;1&amp;D186,Sheet3!$A$2:$E$221,5,0)</f>
        <v>화속성, 발차기 4회 적중시 화상 5초(기본딜의 24% 추정. 치명,단일타격 미적용)</v>
      </c>
      <c r="L186" t="str">
        <f>VLOOKUP($B186&amp;2&amp;E186,Sheet3!$A$2:$E$221,5,0)</f>
        <v>-</v>
      </c>
      <c r="M186" t="str">
        <f>VLOOKUP($B186&amp;3&amp;F186,Sheet3!$A$2:$E$221,5,0)</f>
        <v>공격형태 변경. 2초 홀딩. 발차기2를 7x2회 타격.</v>
      </c>
      <c r="N186">
        <v>14.930999999999999</v>
      </c>
      <c r="O186">
        <v>17.782</v>
      </c>
    </row>
    <row r="187" spans="1:15">
      <c r="A187" t="str">
        <f t="shared" si="4"/>
        <v>월섬10132</v>
      </c>
      <c r="B187" s="16" t="s">
        <v>4</v>
      </c>
      <c r="C187" s="16">
        <v>10</v>
      </c>
      <c r="D187" s="16">
        <v>1</v>
      </c>
      <c r="E187" s="16">
        <v>3</v>
      </c>
      <c r="F187" s="16">
        <v>2</v>
      </c>
      <c r="G187" s="1">
        <f ca="1">SUMPRODUCT((Master!$A$2:$A$57=$B187)*(Master!$G$2:$G$57+공격력),(Master!$A$2:$A$57=$B187)*Master!$H$2:$H$57,(Master!$A$2:$A$57=$B187)*Master!$D$2:$D$57,(Master!$A$2:$A$57=$B187)*OFFSET(Master!$I$2:$I$57,0,D187-1),(Master!$A$2:$A$57=$B187)*OFFSET(Master!$L$2:$L$57,0,E187-1),(Master!$A$2:$A$57=$B187)*OFFSET(Master!$O$2:$O$57,0,F187-1))</f>
        <v>14086.672807437792</v>
      </c>
      <c r="H187" s="7">
        <f t="shared" si="5"/>
        <v>1.6159999999999997</v>
      </c>
      <c r="I187" s="79">
        <v>28</v>
      </c>
      <c r="J187" s="78">
        <v>479</v>
      </c>
      <c r="K187" t="str">
        <f>VLOOKUP($B187&amp;1&amp;D187,Sheet3!$A$2:$E$221,5,0)</f>
        <v>화속성, 발차기 4회 적중시 화상 5초(기본딜의 24% 추정. 치명,단일타격 미적용)</v>
      </c>
      <c r="L187" t="str">
        <f>VLOOKUP($B187&amp;2&amp;E187,Sheet3!$A$2:$E$221,5,0)</f>
        <v>-</v>
      </c>
      <c r="M187" t="str">
        <f>VLOOKUP($B187&amp;3&amp;F187,Sheet3!$A$2:$E$221,5,0)</f>
        <v>일반스킬로 변경, 막타 피해 250%증가, 피해증가량 200%인것으로 추정됨</v>
      </c>
      <c r="N187">
        <v>11.699</v>
      </c>
      <c r="O187">
        <v>13.315</v>
      </c>
    </row>
    <row r="188" spans="1:15">
      <c r="A188" t="str">
        <f t="shared" si="4"/>
        <v>월섬10211</v>
      </c>
      <c r="B188" s="16" t="s">
        <v>4</v>
      </c>
      <c r="C188" s="16">
        <v>10</v>
      </c>
      <c r="D188" s="16">
        <v>2</v>
      </c>
      <c r="E188" s="16">
        <v>1</v>
      </c>
      <c r="F188" s="16">
        <v>1</v>
      </c>
      <c r="G188" s="1">
        <f ca="1">SUMPRODUCT((Master!$A$2:$A$57=$B188)*(Master!$G$2:$G$57+공격력),(Master!$A$2:$A$57=$B188)*Master!$H$2:$H$57,(Master!$A$2:$A$57=$B188)*Master!$D$2:$D$57,(Master!$A$2:$A$57=$B188)*OFFSET(Master!$I$2:$I$57,0,D188-1),(Master!$A$2:$A$57=$B188)*OFFSET(Master!$L$2:$L$57,0,E188-1),(Master!$A$2:$A$57=$B188)*OFFSET(Master!$O$2:$O$57,0,F188-1))</f>
        <v>7254.6646555079797</v>
      </c>
      <c r="H188" s="7">
        <f t="shared" si="5"/>
        <v>2.8510000000000009</v>
      </c>
      <c r="I188" s="79">
        <v>39</v>
      </c>
      <c r="J188" s="78">
        <v>490</v>
      </c>
      <c r="K188" t="str">
        <f>VLOOKUP($B188&amp;1&amp;D188,Sheet3!$A$2:$E$221,5,0)</f>
        <v>뇌속성, 첫타에 4초전격(기본딜의 15%추정, 단일타격 적용), 방향전환 가능</v>
      </c>
      <c r="L188" t="str">
        <f>VLOOKUP($B188&amp;2&amp;E188,Sheet3!$A$2:$E$221,5,0)</f>
        <v>첫타 이동거리 3m증가, 쿨 3초 감소</v>
      </c>
      <c r="M188" t="str">
        <f>VLOOKUP($B188&amp;3&amp;F188,Sheet3!$A$2:$E$221,5,0)</f>
        <v>공격형태 변경. 2초 홀딩. 발차기2를 7x2회 타격.</v>
      </c>
      <c r="N188">
        <v>14.930999999999999</v>
      </c>
      <c r="O188">
        <v>17.782</v>
      </c>
    </row>
    <row r="189" spans="1:15">
      <c r="A189" t="str">
        <f t="shared" si="4"/>
        <v>월섬10212</v>
      </c>
      <c r="B189" s="16" t="s">
        <v>4</v>
      </c>
      <c r="C189" s="16">
        <v>10</v>
      </c>
      <c r="D189" s="16">
        <v>2</v>
      </c>
      <c r="E189" s="16">
        <v>1</v>
      </c>
      <c r="F189" s="16">
        <v>2</v>
      </c>
      <c r="G189" s="1">
        <f ca="1">SUMPRODUCT((Master!$A$2:$A$57=$B189)*(Master!$G$2:$G$57+공격력),(Master!$A$2:$A$57=$B189)*Master!$H$2:$H$57,(Master!$A$2:$A$57=$B189)*Master!$D$2:$D$57,(Master!$A$2:$A$57=$B189)*OFFSET(Master!$I$2:$I$57,0,D189-1),(Master!$A$2:$A$57=$B189)*OFFSET(Master!$L$2:$L$57,0,E189-1),(Master!$A$2:$A$57=$B189)*OFFSET(Master!$O$2:$O$57,0,F189-1))</f>
        <v>9391.1152049585271</v>
      </c>
      <c r="H189" s="7">
        <f t="shared" si="5"/>
        <v>1.6159999999999997</v>
      </c>
      <c r="I189" s="79">
        <v>28</v>
      </c>
      <c r="J189" s="78">
        <v>479</v>
      </c>
      <c r="K189" t="str">
        <f>VLOOKUP($B189&amp;1&amp;D189,Sheet3!$A$2:$E$221,5,0)</f>
        <v>뇌속성, 첫타에 4초전격(기본딜의 15%추정, 단일타격 적용), 방향전환 가능</v>
      </c>
      <c r="L189" t="str">
        <f>VLOOKUP($B189&amp;2&amp;E189,Sheet3!$A$2:$E$221,5,0)</f>
        <v>첫타 이동거리 3m증가, 쿨 3초 감소</v>
      </c>
      <c r="M189" t="str">
        <f>VLOOKUP($B189&amp;3&amp;F189,Sheet3!$A$2:$E$221,5,0)</f>
        <v>일반스킬로 변경, 막타 피해 250%증가, 피해증가량 200%인것으로 추정됨</v>
      </c>
      <c r="N189">
        <v>11.699</v>
      </c>
      <c r="O189">
        <v>13.315</v>
      </c>
    </row>
    <row r="190" spans="1:15">
      <c r="A190" t="str">
        <f t="shared" si="4"/>
        <v>월섬10221</v>
      </c>
      <c r="B190" s="16" t="s">
        <v>4</v>
      </c>
      <c r="C190" s="16">
        <v>10</v>
      </c>
      <c r="D190" s="16">
        <v>2</v>
      </c>
      <c r="E190" s="16">
        <v>2</v>
      </c>
      <c r="F190" s="16">
        <v>1</v>
      </c>
      <c r="G190" s="1">
        <f ca="1">SUMPRODUCT((Master!$A$2:$A$57=$B190)*(Master!$G$2:$G$57+공격력),(Master!$A$2:$A$57=$B190)*Master!$H$2:$H$57,(Master!$A$2:$A$57=$B190)*Master!$D$2:$D$57,(Master!$A$2:$A$57=$B190)*OFFSET(Master!$I$2:$I$57,0,D190-1),(Master!$A$2:$A$57=$B190)*OFFSET(Master!$L$2:$L$57,0,E190-1),(Master!$A$2:$A$57=$B190)*OFFSET(Master!$O$2:$O$57,0,F190-1))</f>
        <v>13003.318501661824</v>
      </c>
      <c r="H190" s="7">
        <f t="shared" si="5"/>
        <v>2.8510000000000009</v>
      </c>
      <c r="I190" s="79">
        <v>39</v>
      </c>
      <c r="J190" s="78">
        <v>457</v>
      </c>
      <c r="K190" t="str">
        <f>VLOOKUP($B190&amp;1&amp;D190,Sheet3!$A$2:$E$221,5,0)</f>
        <v>뇌속성, 첫타에 4초전격(기본딜의 15%추정, 단일타격 적용), 방향전환 가능</v>
      </c>
      <c r="L190" t="str">
        <f>VLOOKUP($B190&amp;2&amp;E190,Sheet3!$A$2:$E$221,5,0)</f>
        <v>공격범위 30%증가, 발차기2의 타수 두배</v>
      </c>
      <c r="M190" t="str">
        <f>VLOOKUP($B190&amp;3&amp;F190,Sheet3!$A$2:$E$221,5,0)</f>
        <v>공격형태 변경. 2초 홀딩. 발차기2를 7x2회 타격.</v>
      </c>
      <c r="N190">
        <v>14.930999999999999</v>
      </c>
      <c r="O190">
        <v>17.782</v>
      </c>
    </row>
    <row r="191" spans="1:15">
      <c r="A191" t="str">
        <f t="shared" si="4"/>
        <v>월섬10222</v>
      </c>
      <c r="B191" s="16" t="s">
        <v>4</v>
      </c>
      <c r="C191" s="16">
        <v>10</v>
      </c>
      <c r="D191" s="16">
        <v>2</v>
      </c>
      <c r="E191" s="16">
        <v>2</v>
      </c>
      <c r="F191" s="16">
        <v>2</v>
      </c>
      <c r="G191" s="1">
        <f ca="1">SUMPRODUCT((Master!$A$2:$A$57=$B191)*(Master!$G$2:$G$57+공격력),(Master!$A$2:$A$57=$B191)*Master!$H$2:$H$57,(Master!$A$2:$A$57=$B191)*Master!$D$2:$D$57,(Master!$A$2:$A$57=$B191)*OFFSET(Master!$I$2:$I$57,0,D191-1),(Master!$A$2:$A$57=$B191)*OFFSET(Master!$L$2:$L$57,0,E191-1),(Master!$A$2:$A$57=$B191)*OFFSET(Master!$O$2:$O$57,0,F191-1))</f>
        <v>9391.1152049585271</v>
      </c>
      <c r="H191" s="7">
        <f t="shared" si="5"/>
        <v>1.6159999999999997</v>
      </c>
      <c r="I191" s="79">
        <v>28</v>
      </c>
      <c r="J191" s="78">
        <v>479</v>
      </c>
      <c r="K191" t="str">
        <f>VLOOKUP($B191&amp;1&amp;D191,Sheet3!$A$2:$E$221,5,0)</f>
        <v>뇌속성, 첫타에 4초전격(기본딜의 15%추정, 단일타격 적용), 방향전환 가능</v>
      </c>
      <c r="L191" t="str">
        <f>VLOOKUP($B191&amp;2&amp;E191,Sheet3!$A$2:$E$221,5,0)</f>
        <v>공격범위 30%증가, 발차기2의 타수 두배</v>
      </c>
      <c r="M191" t="str">
        <f>VLOOKUP($B191&amp;3&amp;F191,Sheet3!$A$2:$E$221,5,0)</f>
        <v>일반스킬로 변경, 막타 피해 250%증가, 피해증가량 200%인것으로 추정됨</v>
      </c>
      <c r="N191">
        <v>11.699</v>
      </c>
      <c r="O191">
        <v>13.315</v>
      </c>
    </row>
    <row r="192" spans="1:15">
      <c r="A192" t="str">
        <f t="shared" si="4"/>
        <v>월섬10231</v>
      </c>
      <c r="B192" s="16" t="s">
        <v>4</v>
      </c>
      <c r="C192" s="16">
        <v>10</v>
      </c>
      <c r="D192" s="16">
        <v>2</v>
      </c>
      <c r="E192" s="16">
        <v>3</v>
      </c>
      <c r="F192" s="16">
        <v>1</v>
      </c>
      <c r="G192" s="1">
        <f ca="1">SUMPRODUCT((Master!$A$2:$A$57=$B192)*(Master!$G$2:$G$57+공격력),(Master!$A$2:$A$57=$B192)*Master!$H$2:$H$57,(Master!$A$2:$A$57=$B192)*Master!$D$2:$D$57,(Master!$A$2:$A$57=$B192)*OFFSET(Master!$I$2:$I$57,0,D192-1),(Master!$A$2:$A$57=$B192)*OFFSET(Master!$L$2:$L$57,0,E192-1),(Master!$A$2:$A$57=$B192)*OFFSET(Master!$O$2:$O$57,0,F192-1))</f>
        <v>10881.996983261968</v>
      </c>
      <c r="H192" s="7">
        <f t="shared" si="5"/>
        <v>2.8510000000000009</v>
      </c>
      <c r="I192" s="79">
        <v>39</v>
      </c>
      <c r="J192" s="78">
        <v>490</v>
      </c>
      <c r="K192" t="str">
        <f>VLOOKUP($B192&amp;1&amp;D192,Sheet3!$A$2:$E$221,5,0)</f>
        <v>뇌속성, 첫타에 4초전격(기본딜의 15%추정, 단일타격 적용), 방향전환 가능</v>
      </c>
      <c r="L192" t="str">
        <f>VLOOKUP($B192&amp;2&amp;E192,Sheet3!$A$2:$E$221,5,0)</f>
        <v>-</v>
      </c>
      <c r="M192" t="str">
        <f>VLOOKUP($B192&amp;3&amp;F192,Sheet3!$A$2:$E$221,5,0)</f>
        <v>공격형태 변경. 2초 홀딩. 발차기2를 7x2회 타격.</v>
      </c>
      <c r="N192">
        <v>14.930999999999999</v>
      </c>
      <c r="O192">
        <v>17.782</v>
      </c>
    </row>
    <row r="193" spans="1:15">
      <c r="A193" t="str">
        <f t="shared" si="4"/>
        <v>월섬10232</v>
      </c>
      <c r="B193" s="16" t="s">
        <v>4</v>
      </c>
      <c r="C193" s="16">
        <v>10</v>
      </c>
      <c r="D193" s="16">
        <v>2</v>
      </c>
      <c r="E193" s="16">
        <v>3</v>
      </c>
      <c r="F193" s="16">
        <v>2</v>
      </c>
      <c r="G193" s="1">
        <f ca="1">SUMPRODUCT((Master!$A$2:$A$57=$B193)*(Master!$G$2:$G$57+공격력),(Master!$A$2:$A$57=$B193)*Master!$H$2:$H$57,(Master!$A$2:$A$57=$B193)*Master!$D$2:$D$57,(Master!$A$2:$A$57=$B193)*OFFSET(Master!$I$2:$I$57,0,D193-1),(Master!$A$2:$A$57=$B193)*OFFSET(Master!$L$2:$L$57,0,E193-1),(Master!$A$2:$A$57=$B193)*OFFSET(Master!$O$2:$O$57,0,F193-1))</f>
        <v>14086.672807437792</v>
      </c>
      <c r="H193" s="7">
        <f t="shared" si="5"/>
        <v>1.6159999999999997</v>
      </c>
      <c r="I193" s="79">
        <v>28</v>
      </c>
      <c r="J193" s="78">
        <v>479</v>
      </c>
      <c r="K193" t="str">
        <f>VLOOKUP($B193&amp;1&amp;D193,Sheet3!$A$2:$E$221,5,0)</f>
        <v>뇌속성, 첫타에 4초전격(기본딜의 15%추정, 단일타격 적용), 방향전환 가능</v>
      </c>
      <c r="L193" t="str">
        <f>VLOOKUP($B193&amp;2&amp;E193,Sheet3!$A$2:$E$221,5,0)</f>
        <v>-</v>
      </c>
      <c r="M193" t="str">
        <f>VLOOKUP($B193&amp;3&amp;F193,Sheet3!$A$2:$E$221,5,0)</f>
        <v>일반스킬로 변경, 막타 피해 250%증가, 피해증가량 200%인것으로 추정됨</v>
      </c>
      <c r="N193">
        <v>11.699</v>
      </c>
      <c r="O193">
        <v>13.315</v>
      </c>
    </row>
    <row r="194" spans="1:15">
      <c r="A194" t="str">
        <f t="shared" ref="A194:A257" si="6">B194&amp;C194&amp;D194&amp;E194&amp;F194</f>
        <v>월섬10311</v>
      </c>
      <c r="B194" s="16" t="s">
        <v>4</v>
      </c>
      <c r="C194" s="16">
        <v>10</v>
      </c>
      <c r="D194" s="16">
        <v>3</v>
      </c>
      <c r="E194" s="16">
        <v>1</v>
      </c>
      <c r="F194" s="16">
        <v>1</v>
      </c>
      <c r="G194" s="1">
        <f ca="1">SUMPRODUCT((Master!$A$2:$A$57=$B194)*(Master!$G$2:$G$57+공격력),(Master!$A$2:$A$57=$B194)*Master!$H$2:$H$57,(Master!$A$2:$A$57=$B194)*Master!$D$2:$D$57,(Master!$A$2:$A$57=$B194)*OFFSET(Master!$I$2:$I$57,0,D194-1),(Master!$A$2:$A$57=$B194)*OFFSET(Master!$L$2:$L$57,0,E194-1),(Master!$A$2:$A$57=$B194)*OFFSET(Master!$O$2:$O$57,0,F194-1))</f>
        <v>7254.6646555079797</v>
      </c>
      <c r="H194" s="7">
        <f t="shared" ref="H194:H257" si="7">(O194-N194)</f>
        <v>2.8510000000000009</v>
      </c>
      <c r="I194" s="79">
        <v>59</v>
      </c>
      <c r="J194" s="78">
        <v>490</v>
      </c>
      <c r="K194" t="str">
        <f>VLOOKUP($B194&amp;1&amp;D194,Sheet3!$A$2:$E$221,5,0)</f>
        <v>버블수급 50%증가</v>
      </c>
      <c r="L194" t="str">
        <f>VLOOKUP($B194&amp;2&amp;E194,Sheet3!$A$2:$E$221,5,0)</f>
        <v>첫타 이동거리 3m증가, 쿨 3초 감소</v>
      </c>
      <c r="M194" t="str">
        <f>VLOOKUP($B194&amp;3&amp;F194,Sheet3!$A$2:$E$221,5,0)</f>
        <v>공격형태 변경. 2초 홀딩. 발차기2를 7x2회 타격.</v>
      </c>
      <c r="N194">
        <v>14.930999999999999</v>
      </c>
      <c r="O194">
        <v>17.782</v>
      </c>
    </row>
    <row r="195" spans="1:15">
      <c r="A195" t="str">
        <f t="shared" si="6"/>
        <v>월섬10312</v>
      </c>
      <c r="B195" s="16" t="s">
        <v>4</v>
      </c>
      <c r="C195" s="16">
        <v>10</v>
      </c>
      <c r="D195" s="16">
        <v>3</v>
      </c>
      <c r="E195" s="16">
        <v>1</v>
      </c>
      <c r="F195" s="16">
        <v>2</v>
      </c>
      <c r="G195" s="1">
        <f ca="1">SUMPRODUCT((Master!$A$2:$A$57=$B195)*(Master!$G$2:$G$57+공격력),(Master!$A$2:$A$57=$B195)*Master!$H$2:$H$57,(Master!$A$2:$A$57=$B195)*Master!$D$2:$D$57,(Master!$A$2:$A$57=$B195)*OFFSET(Master!$I$2:$I$57,0,D195-1),(Master!$A$2:$A$57=$B195)*OFFSET(Master!$L$2:$L$57,0,E195-1),(Master!$A$2:$A$57=$B195)*OFFSET(Master!$O$2:$O$57,0,F195-1))</f>
        <v>9391.1152049585271</v>
      </c>
      <c r="H195" s="7">
        <f t="shared" si="7"/>
        <v>1.6159999999999997</v>
      </c>
      <c r="I195" s="79">
        <v>43</v>
      </c>
      <c r="J195" s="78">
        <v>479</v>
      </c>
      <c r="K195" t="str">
        <f>VLOOKUP($B195&amp;1&amp;D195,Sheet3!$A$2:$E$221,5,0)</f>
        <v>버블수급 50%증가</v>
      </c>
      <c r="L195" t="str">
        <f>VLOOKUP($B195&amp;2&amp;E195,Sheet3!$A$2:$E$221,5,0)</f>
        <v>첫타 이동거리 3m증가, 쿨 3초 감소</v>
      </c>
      <c r="M195" t="str">
        <f>VLOOKUP($B195&amp;3&amp;F195,Sheet3!$A$2:$E$221,5,0)</f>
        <v>일반스킬로 변경, 막타 피해 250%증가, 피해증가량 200%인것으로 추정됨</v>
      </c>
      <c r="N195">
        <v>11.699</v>
      </c>
      <c r="O195">
        <v>13.315</v>
      </c>
    </row>
    <row r="196" spans="1:15">
      <c r="A196" t="str">
        <f t="shared" si="6"/>
        <v>월섬10321</v>
      </c>
      <c r="B196" s="16" t="s">
        <v>4</v>
      </c>
      <c r="C196" s="16">
        <v>10</v>
      </c>
      <c r="D196" s="16">
        <v>3</v>
      </c>
      <c r="E196" s="16">
        <v>2</v>
      </c>
      <c r="F196" s="16">
        <v>1</v>
      </c>
      <c r="G196" s="1">
        <f ca="1">SUMPRODUCT((Master!$A$2:$A$57=$B196)*(Master!$G$2:$G$57+공격력),(Master!$A$2:$A$57=$B196)*Master!$H$2:$H$57,(Master!$A$2:$A$57=$B196)*Master!$D$2:$D$57,(Master!$A$2:$A$57=$B196)*OFFSET(Master!$I$2:$I$57,0,D196-1),(Master!$A$2:$A$57=$B196)*OFFSET(Master!$L$2:$L$57,0,E196-1),(Master!$A$2:$A$57=$B196)*OFFSET(Master!$O$2:$O$57,0,F196-1))</f>
        <v>13003.318501661824</v>
      </c>
      <c r="H196" s="7">
        <f t="shared" si="7"/>
        <v>2.8510000000000009</v>
      </c>
      <c r="I196" s="79">
        <v>59</v>
      </c>
      <c r="J196" s="78">
        <v>457</v>
      </c>
      <c r="K196" t="str">
        <f>VLOOKUP($B196&amp;1&amp;D196,Sheet3!$A$2:$E$221,5,0)</f>
        <v>버블수급 50%증가</v>
      </c>
      <c r="L196" t="str">
        <f>VLOOKUP($B196&amp;2&amp;E196,Sheet3!$A$2:$E$221,5,0)</f>
        <v>공격범위 30%증가, 발차기2의 타수 두배</v>
      </c>
      <c r="M196" t="str">
        <f>VLOOKUP($B196&amp;3&amp;F196,Sheet3!$A$2:$E$221,5,0)</f>
        <v>공격형태 변경. 2초 홀딩. 발차기2를 7x2회 타격.</v>
      </c>
      <c r="N196">
        <v>14.930999999999999</v>
      </c>
      <c r="O196">
        <v>17.782</v>
      </c>
    </row>
    <row r="197" spans="1:15">
      <c r="A197" t="str">
        <f t="shared" si="6"/>
        <v>월섬10322</v>
      </c>
      <c r="B197" s="16" t="s">
        <v>4</v>
      </c>
      <c r="C197" s="16">
        <v>10</v>
      </c>
      <c r="D197" s="16">
        <v>3</v>
      </c>
      <c r="E197" s="16">
        <v>2</v>
      </c>
      <c r="F197" s="16">
        <v>2</v>
      </c>
      <c r="G197" s="1">
        <f ca="1">SUMPRODUCT((Master!$A$2:$A$57=$B197)*(Master!$G$2:$G$57+공격력),(Master!$A$2:$A$57=$B197)*Master!$H$2:$H$57,(Master!$A$2:$A$57=$B197)*Master!$D$2:$D$57,(Master!$A$2:$A$57=$B197)*OFFSET(Master!$I$2:$I$57,0,D197-1),(Master!$A$2:$A$57=$B197)*OFFSET(Master!$L$2:$L$57,0,E197-1),(Master!$A$2:$A$57=$B197)*OFFSET(Master!$O$2:$O$57,0,F197-1))</f>
        <v>9391.1152049585271</v>
      </c>
      <c r="H197" s="7">
        <f t="shared" si="7"/>
        <v>1.6159999999999997</v>
      </c>
      <c r="I197" s="79">
        <v>43</v>
      </c>
      <c r="J197" s="78">
        <v>479</v>
      </c>
      <c r="K197" t="str">
        <f>VLOOKUP($B197&amp;1&amp;D197,Sheet3!$A$2:$E$221,5,0)</f>
        <v>버블수급 50%증가</v>
      </c>
      <c r="L197" t="str">
        <f>VLOOKUP($B197&amp;2&amp;E197,Sheet3!$A$2:$E$221,5,0)</f>
        <v>공격범위 30%증가, 발차기2의 타수 두배</v>
      </c>
      <c r="M197" t="str">
        <f>VLOOKUP($B197&amp;3&amp;F197,Sheet3!$A$2:$E$221,5,0)</f>
        <v>일반스킬로 변경, 막타 피해 250%증가, 피해증가량 200%인것으로 추정됨</v>
      </c>
      <c r="N197">
        <v>11.699</v>
      </c>
      <c r="O197">
        <v>13.315</v>
      </c>
    </row>
    <row r="198" spans="1:15">
      <c r="A198" t="str">
        <f t="shared" si="6"/>
        <v>월섬10331</v>
      </c>
      <c r="B198" s="16" t="s">
        <v>4</v>
      </c>
      <c r="C198" s="16">
        <v>10</v>
      </c>
      <c r="D198" s="16">
        <v>3</v>
      </c>
      <c r="E198" s="16">
        <v>3</v>
      </c>
      <c r="F198" s="16">
        <v>1</v>
      </c>
      <c r="G198" s="1">
        <f ca="1">SUMPRODUCT((Master!$A$2:$A$57=$B198)*(Master!$G$2:$G$57+공격력),(Master!$A$2:$A$57=$B198)*Master!$H$2:$H$57,(Master!$A$2:$A$57=$B198)*Master!$D$2:$D$57,(Master!$A$2:$A$57=$B198)*OFFSET(Master!$I$2:$I$57,0,D198-1),(Master!$A$2:$A$57=$B198)*OFFSET(Master!$L$2:$L$57,0,E198-1),(Master!$A$2:$A$57=$B198)*OFFSET(Master!$O$2:$O$57,0,F198-1))</f>
        <v>10881.996983261968</v>
      </c>
      <c r="H198" s="7">
        <f t="shared" si="7"/>
        <v>2.8510000000000009</v>
      </c>
      <c r="I198" s="79">
        <v>59</v>
      </c>
      <c r="J198" s="78">
        <v>490</v>
      </c>
      <c r="K198" t="str">
        <f>VLOOKUP($B198&amp;1&amp;D198,Sheet3!$A$2:$E$221,5,0)</f>
        <v>버블수급 50%증가</v>
      </c>
      <c r="L198" t="str">
        <f>VLOOKUP($B198&amp;2&amp;E198,Sheet3!$A$2:$E$221,5,0)</f>
        <v>-</v>
      </c>
      <c r="M198" t="str">
        <f>VLOOKUP($B198&amp;3&amp;F198,Sheet3!$A$2:$E$221,5,0)</f>
        <v>공격형태 변경. 2초 홀딩. 발차기2를 7x2회 타격.</v>
      </c>
      <c r="N198">
        <v>14.930999999999999</v>
      </c>
      <c r="O198">
        <v>17.782</v>
      </c>
    </row>
    <row r="199" spans="1:15">
      <c r="A199" t="str">
        <f t="shared" si="6"/>
        <v>월섬10332</v>
      </c>
      <c r="B199" s="16" t="s">
        <v>4</v>
      </c>
      <c r="C199" s="16">
        <v>10</v>
      </c>
      <c r="D199" s="16">
        <v>3</v>
      </c>
      <c r="E199" s="16">
        <v>3</v>
      </c>
      <c r="F199" s="16">
        <v>2</v>
      </c>
      <c r="G199" s="1">
        <f ca="1">SUMPRODUCT((Master!$A$2:$A$57=$B199)*(Master!$G$2:$G$57+공격력),(Master!$A$2:$A$57=$B199)*Master!$H$2:$H$57,(Master!$A$2:$A$57=$B199)*Master!$D$2:$D$57,(Master!$A$2:$A$57=$B199)*OFFSET(Master!$I$2:$I$57,0,D199-1),(Master!$A$2:$A$57=$B199)*OFFSET(Master!$L$2:$L$57,0,E199-1),(Master!$A$2:$A$57=$B199)*OFFSET(Master!$O$2:$O$57,0,F199-1))</f>
        <v>14086.672807437792</v>
      </c>
      <c r="H199" s="7">
        <f t="shared" si="7"/>
        <v>1.6159999999999997</v>
      </c>
      <c r="I199" s="79">
        <v>43</v>
      </c>
      <c r="J199" s="78">
        <v>479</v>
      </c>
      <c r="K199" t="str">
        <f>VLOOKUP($B199&amp;1&amp;D199,Sheet3!$A$2:$E$221,5,0)</f>
        <v>버블수급 50%증가</v>
      </c>
      <c r="L199" t="str">
        <f>VLOOKUP($B199&amp;2&amp;E199,Sheet3!$A$2:$E$221,5,0)</f>
        <v>-</v>
      </c>
      <c r="M199" t="str">
        <f>VLOOKUP($B199&amp;3&amp;F199,Sheet3!$A$2:$E$221,5,0)</f>
        <v>일반스킬로 변경, 막타 피해 250%증가, 피해증가량 200%인것으로 추정됨</v>
      </c>
      <c r="N199">
        <v>11.699</v>
      </c>
      <c r="O199">
        <v>13.315</v>
      </c>
    </row>
    <row r="200" spans="1:15">
      <c r="A200" t="str">
        <f t="shared" si="6"/>
        <v>일순-111</v>
      </c>
      <c r="B200" s="16" t="s">
        <v>2</v>
      </c>
      <c r="C200" s="16" t="s">
        <v>1</v>
      </c>
      <c r="D200" s="16">
        <v>1</v>
      </c>
      <c r="E200" s="16">
        <v>1</v>
      </c>
      <c r="F200" s="16">
        <v>1</v>
      </c>
      <c r="G200" s="1">
        <f ca="1">SUMPRODUCT((Master!$A$2:$A$57=$B200)*(Master!$G$2:$G$57+공격력),(Master!$A$2:$A$57=$B200)*Master!$H$2:$H$57,(Master!$A$2:$A$57=$B200)*Master!$D$2:$D$57,(Master!$A$2:$A$57=$B200)*OFFSET(Master!$I$2:$I$57,0,D200-1),(Master!$A$2:$A$57=$B200)*OFFSET(Master!$L$2:$L$57,0,E200-1),(Master!$A$2:$A$57=$B200)*OFFSET(Master!$O$2:$O$57,0,F200-1))</f>
        <v>44082.234375</v>
      </c>
      <c r="H200" s="7">
        <f t="shared" si="7"/>
        <v>5.0329999999999995</v>
      </c>
      <c r="I200" s="79">
        <v>0</v>
      </c>
      <c r="J200" s="78">
        <v>460</v>
      </c>
      <c r="N200">
        <v>1.599</v>
      </c>
      <c r="O200">
        <v>6.6319999999999997</v>
      </c>
    </row>
    <row r="201" spans="1:15">
      <c r="A201" t="str">
        <f t="shared" si="6"/>
        <v>잠룡10111</v>
      </c>
      <c r="B201" s="16" t="s">
        <v>31</v>
      </c>
      <c r="C201" s="16">
        <v>10</v>
      </c>
      <c r="D201" s="16">
        <v>1</v>
      </c>
      <c r="E201" s="16">
        <v>1</v>
      </c>
      <c r="F201" s="16">
        <v>1</v>
      </c>
      <c r="G201" s="1">
        <f ca="1">SUMPRODUCT((Master!$A$2:$A$57=$B201)*(Master!$G$2:$G$57+공격력),(Master!$A$2:$A$57=$B201)*Master!$H$2:$H$57,(Master!$A$2:$A$57=$B201)*Master!$D$2:$D$57,(Master!$A$2:$A$57=$B201)*OFFSET(Master!$I$2:$I$57,0,D201-1),(Master!$A$2:$A$57=$B201)*OFFSET(Master!$L$2:$L$57,0,E201-1),(Master!$A$2:$A$57=$B201)*OFFSET(Master!$O$2:$O$57,0,F201-1))</f>
        <v>4757.170329670329</v>
      </c>
      <c r="H201" s="7">
        <f t="shared" si="7"/>
        <v>1.6820000000000022</v>
      </c>
      <c r="I201" s="79">
        <v>21</v>
      </c>
      <c r="J201" s="78">
        <v>513</v>
      </c>
      <c r="K201" t="str">
        <f>VLOOKUP($B201&amp;1&amp;D201,Sheet3!$A$2:$E$221,5,0)</f>
        <v>공속, 공격범위 10%증가</v>
      </c>
      <c r="L201" t="str">
        <f>VLOOKUP($B201&amp;2&amp;E201,Sheet3!$A$2:$E$221,5,0)</f>
        <v>쿨 4초 감소</v>
      </c>
      <c r="M201" t="str">
        <f>VLOOKUP($B201&amp;3&amp;F201,Sheet3!$A$2:$E$221,5,0)</f>
        <v>돌진중 윈드밀 사용가능 + 넘어뜨림(시전시간 측정 부정확)</v>
      </c>
      <c r="N201">
        <v>20.164999999999999</v>
      </c>
      <c r="O201">
        <v>21.847000000000001</v>
      </c>
    </row>
    <row r="202" spans="1:15">
      <c r="A202" t="str">
        <f t="shared" si="6"/>
        <v>잠룡10112</v>
      </c>
      <c r="B202" s="16" t="s">
        <v>31</v>
      </c>
      <c r="C202" s="16">
        <v>10</v>
      </c>
      <c r="D202" s="16">
        <v>1</v>
      </c>
      <c r="E202" s="16">
        <v>1</v>
      </c>
      <c r="F202" s="16">
        <v>2</v>
      </c>
      <c r="G202" s="1">
        <f ca="1">SUMPRODUCT((Master!$A$2:$A$57=$B202)*(Master!$G$2:$G$57+공격력),(Master!$A$2:$A$57=$B202)*Master!$H$2:$H$57,(Master!$A$2:$A$57=$B202)*Master!$D$2:$D$57,(Master!$A$2:$A$57=$B202)*OFFSET(Master!$I$2:$I$57,0,D202-1),(Master!$A$2:$A$57=$B202)*OFFSET(Master!$L$2:$L$57,0,E202-1),(Master!$A$2:$A$57=$B202)*OFFSET(Master!$O$2:$O$57,0,F202-1))</f>
        <v>6182.1565934065929</v>
      </c>
      <c r="H202" s="7">
        <f t="shared" si="7"/>
        <v>1.4010000000000034</v>
      </c>
      <c r="I202" s="79">
        <v>21</v>
      </c>
      <c r="J202" s="78">
        <v>513</v>
      </c>
      <c r="K202" t="str">
        <f>VLOOKUP($B202&amp;1&amp;D202,Sheet3!$A$2:$E$221,5,0)</f>
        <v>공속, 공격범위 10%증가</v>
      </c>
      <c r="L202" t="str">
        <f>VLOOKUP($B202&amp;2&amp;E202,Sheet3!$A$2:$E$221,5,0)</f>
        <v>쿨 4초 감소</v>
      </c>
      <c r="M202" t="str">
        <f>VLOOKUP($B202&amp;3&amp;F202,Sheet3!$A$2:$E$221,5,0)</f>
        <v>수속성, 막타뎀증 50% + 적 띄움</v>
      </c>
      <c r="N202">
        <v>34.680999999999997</v>
      </c>
      <c r="O202">
        <v>36.082000000000001</v>
      </c>
    </row>
    <row r="203" spans="1:15">
      <c r="A203" t="str">
        <f t="shared" si="6"/>
        <v>잠룡10121</v>
      </c>
      <c r="B203" s="16" t="s">
        <v>31</v>
      </c>
      <c r="C203" s="16">
        <v>10</v>
      </c>
      <c r="D203" s="16">
        <v>1</v>
      </c>
      <c r="E203" s="16">
        <v>2</v>
      </c>
      <c r="F203" s="16">
        <v>1</v>
      </c>
      <c r="G203" s="1">
        <f ca="1">SUMPRODUCT((Master!$A$2:$A$57=$B203)*(Master!$G$2:$G$57+공격력),(Master!$A$2:$A$57=$B203)*Master!$H$2:$H$57,(Master!$A$2:$A$57=$B203)*Master!$D$2:$D$57,(Master!$A$2:$A$57=$B203)*OFFSET(Master!$I$2:$I$57,0,D203-1),(Master!$A$2:$A$57=$B203)*OFFSET(Master!$L$2:$L$57,0,E203-1),(Master!$A$2:$A$57=$B203)*OFFSET(Master!$O$2:$O$57,0,F203-1))</f>
        <v>6664.368131868132</v>
      </c>
      <c r="H203" s="7">
        <f t="shared" si="7"/>
        <v>1.6820000000000022</v>
      </c>
      <c r="I203" s="79">
        <v>21</v>
      </c>
      <c r="J203" s="78">
        <v>513</v>
      </c>
      <c r="K203" t="str">
        <f>VLOOKUP($B203&amp;1&amp;D203,Sheet3!$A$2:$E$221,5,0)</f>
        <v>공속, 공격범위 10%증가</v>
      </c>
      <c r="L203" t="str">
        <f>VLOOKUP($B203&amp;2&amp;E203,Sheet3!$A$2:$E$221,5,0)</f>
        <v>돌진피해 100%증가</v>
      </c>
      <c r="M203" t="str">
        <f>VLOOKUP($B203&amp;3&amp;F203,Sheet3!$A$2:$E$221,5,0)</f>
        <v>돌진중 윈드밀 사용가능 + 넘어뜨림(시전시간 측정 부정확)</v>
      </c>
      <c r="N203">
        <v>20.164999999999999</v>
      </c>
      <c r="O203">
        <v>21.847000000000001</v>
      </c>
    </row>
    <row r="204" spans="1:15">
      <c r="A204" t="str">
        <f t="shared" si="6"/>
        <v>잠룡10122</v>
      </c>
      <c r="B204" s="16" t="s">
        <v>31</v>
      </c>
      <c r="C204" s="16">
        <v>10</v>
      </c>
      <c r="D204" s="16">
        <v>1</v>
      </c>
      <c r="E204" s="16">
        <v>2</v>
      </c>
      <c r="F204" s="16">
        <v>2</v>
      </c>
      <c r="G204" s="1">
        <f ca="1">SUMPRODUCT((Master!$A$2:$A$57=$B204)*(Master!$G$2:$G$57+공격력),(Master!$A$2:$A$57=$B204)*Master!$H$2:$H$57,(Master!$A$2:$A$57=$B204)*Master!$D$2:$D$57,(Master!$A$2:$A$57=$B204)*OFFSET(Master!$I$2:$I$57,0,D204-1),(Master!$A$2:$A$57=$B204)*OFFSET(Master!$L$2:$L$57,0,E204-1),(Master!$A$2:$A$57=$B204)*OFFSET(Master!$O$2:$O$57,0,F204-1))</f>
        <v>8089.354395604395</v>
      </c>
      <c r="H204" s="7">
        <f t="shared" si="7"/>
        <v>1.4010000000000034</v>
      </c>
      <c r="I204" s="79">
        <v>21</v>
      </c>
      <c r="J204" s="78">
        <v>513</v>
      </c>
      <c r="K204" t="str">
        <f>VLOOKUP($B204&amp;1&amp;D204,Sheet3!$A$2:$E$221,5,0)</f>
        <v>공속, 공격범위 10%증가</v>
      </c>
      <c r="L204" t="str">
        <f>VLOOKUP($B204&amp;2&amp;E204,Sheet3!$A$2:$E$221,5,0)</f>
        <v>돌진피해 100%증가</v>
      </c>
      <c r="M204" t="str">
        <f>VLOOKUP($B204&amp;3&amp;F204,Sheet3!$A$2:$E$221,5,0)</f>
        <v>수속성, 막타뎀증 50% + 적 띄움</v>
      </c>
      <c r="N204">
        <v>34.680999999999997</v>
      </c>
      <c r="O204">
        <v>36.082000000000001</v>
      </c>
    </row>
    <row r="205" spans="1:15">
      <c r="A205" t="str">
        <f t="shared" si="6"/>
        <v>잠룡10131</v>
      </c>
      <c r="B205" s="16" t="s">
        <v>31</v>
      </c>
      <c r="C205" s="16">
        <v>10</v>
      </c>
      <c r="D205" s="16">
        <v>1</v>
      </c>
      <c r="E205" s="16">
        <v>3</v>
      </c>
      <c r="F205" s="16">
        <v>1</v>
      </c>
      <c r="G205" s="1">
        <f ca="1">SUMPRODUCT((Master!$A$2:$A$57=$B205)*(Master!$G$2:$G$57+공격력),(Master!$A$2:$A$57=$B205)*Master!$H$2:$H$57,(Master!$A$2:$A$57=$B205)*Master!$D$2:$D$57,(Master!$A$2:$A$57=$B205)*OFFSET(Master!$I$2:$I$57,0,D205-1),(Master!$A$2:$A$57=$B205)*OFFSET(Master!$L$2:$L$57,0,E205-1),(Master!$A$2:$A$57=$B205)*OFFSET(Master!$O$2:$O$57,0,F205-1))</f>
        <v>4757.170329670329</v>
      </c>
      <c r="H205" s="7">
        <f t="shared" si="7"/>
        <v>1.6820000000000022</v>
      </c>
      <c r="I205" s="79">
        <v>21</v>
      </c>
      <c r="J205" s="78">
        <v>513</v>
      </c>
      <c r="K205" t="str">
        <f>VLOOKUP($B205&amp;1&amp;D205,Sheet3!$A$2:$E$221,5,0)</f>
        <v>공속, 공격범위 10%증가</v>
      </c>
      <c r="L205" t="str">
        <f>VLOOKUP($B205&amp;2&amp;E205,Sheet3!$A$2:$E$221,5,0)</f>
        <v>막타 적중시 공격력 20%증가 3초</v>
      </c>
      <c r="M205" t="str">
        <f>VLOOKUP($B205&amp;3&amp;F205,Sheet3!$A$2:$E$221,5,0)</f>
        <v>돌진중 윈드밀 사용가능 + 넘어뜨림(시전시간 측정 부정확)</v>
      </c>
      <c r="N205">
        <v>20.164999999999999</v>
      </c>
      <c r="O205">
        <v>21.847000000000001</v>
      </c>
    </row>
    <row r="206" spans="1:15">
      <c r="A206" t="str">
        <f t="shared" si="6"/>
        <v>잠룡10132</v>
      </c>
      <c r="B206" s="16" t="s">
        <v>31</v>
      </c>
      <c r="C206" s="16">
        <v>10</v>
      </c>
      <c r="D206" s="16">
        <v>1</v>
      </c>
      <c r="E206" s="16">
        <v>3</v>
      </c>
      <c r="F206" s="16">
        <v>2</v>
      </c>
      <c r="G206" s="1">
        <f ca="1">SUMPRODUCT((Master!$A$2:$A$57=$B206)*(Master!$G$2:$G$57+공격력),(Master!$A$2:$A$57=$B206)*Master!$H$2:$H$57,(Master!$A$2:$A$57=$B206)*Master!$D$2:$D$57,(Master!$A$2:$A$57=$B206)*OFFSET(Master!$I$2:$I$57,0,D206-1),(Master!$A$2:$A$57=$B206)*OFFSET(Master!$L$2:$L$57,0,E206-1),(Master!$A$2:$A$57=$B206)*OFFSET(Master!$O$2:$O$57,0,F206-1))</f>
        <v>6182.1565934065929</v>
      </c>
      <c r="H206" s="7">
        <f t="shared" si="7"/>
        <v>1.4010000000000034</v>
      </c>
      <c r="I206" s="79">
        <v>21</v>
      </c>
      <c r="J206" s="78">
        <v>513</v>
      </c>
      <c r="K206" t="str">
        <f>VLOOKUP($B206&amp;1&amp;D206,Sheet3!$A$2:$E$221,5,0)</f>
        <v>공속, 공격범위 10%증가</v>
      </c>
      <c r="L206" t="str">
        <f>VLOOKUP($B206&amp;2&amp;E206,Sheet3!$A$2:$E$221,5,0)</f>
        <v>막타 적중시 공격력 20%증가 3초</v>
      </c>
      <c r="M206" t="str">
        <f>VLOOKUP($B206&amp;3&amp;F206,Sheet3!$A$2:$E$221,5,0)</f>
        <v>수속성, 막타뎀증 50% + 적 띄움</v>
      </c>
      <c r="N206">
        <v>34.680999999999997</v>
      </c>
      <c r="O206">
        <v>36.082000000000001</v>
      </c>
    </row>
    <row r="207" spans="1:15">
      <c r="A207" t="str">
        <f t="shared" si="6"/>
        <v>잠룡10211</v>
      </c>
      <c r="B207" s="16" t="s">
        <v>31</v>
      </c>
      <c r="C207" s="16">
        <v>10</v>
      </c>
      <c r="D207" s="16">
        <v>2</v>
      </c>
      <c r="E207" s="16">
        <v>1</v>
      </c>
      <c r="F207" s="16">
        <v>1</v>
      </c>
      <c r="G207" s="1">
        <f ca="1">SUMPRODUCT((Master!$A$2:$A$57=$B207)*(Master!$G$2:$G$57+공격력),(Master!$A$2:$A$57=$B207)*Master!$H$2:$H$57,(Master!$A$2:$A$57=$B207)*Master!$D$2:$D$57,(Master!$A$2:$A$57=$B207)*OFFSET(Master!$I$2:$I$57,0,D207-1),(Master!$A$2:$A$57=$B207)*OFFSET(Master!$L$2:$L$57,0,E207-1),(Master!$A$2:$A$57=$B207)*OFFSET(Master!$O$2:$O$57,0,F207-1))</f>
        <v>4757.170329670329</v>
      </c>
      <c r="H207" s="7">
        <f t="shared" si="7"/>
        <v>1.6659999999999968</v>
      </c>
      <c r="I207" s="79">
        <v>21</v>
      </c>
      <c r="J207" s="78">
        <v>513</v>
      </c>
      <c r="K207" t="str">
        <f>VLOOKUP($B207&amp;1&amp;D207,Sheet3!$A$2:$E$221,5,0)</f>
        <v>올려차기 공격범위 20%증가</v>
      </c>
      <c r="L207" t="str">
        <f>VLOOKUP($B207&amp;2&amp;E207,Sheet3!$A$2:$E$221,5,0)</f>
        <v>쿨 4초 감소</v>
      </c>
      <c r="M207" t="str">
        <f>VLOOKUP($B207&amp;3&amp;F207,Sheet3!$A$2:$E$221,5,0)</f>
        <v>돌진중 윈드밀 사용가능 + 넘어뜨림(시전시간 측정 부정확)</v>
      </c>
      <c r="N207">
        <v>54.947000000000003</v>
      </c>
      <c r="O207">
        <v>56.613</v>
      </c>
    </row>
    <row r="208" spans="1:15">
      <c r="A208" t="str">
        <f t="shared" si="6"/>
        <v>잠룡10212</v>
      </c>
      <c r="B208" s="16" t="s">
        <v>31</v>
      </c>
      <c r="C208" s="16">
        <v>10</v>
      </c>
      <c r="D208" s="16">
        <v>2</v>
      </c>
      <c r="E208" s="16">
        <v>1</v>
      </c>
      <c r="F208" s="16">
        <v>2</v>
      </c>
      <c r="G208" s="1">
        <f ca="1">SUMPRODUCT((Master!$A$2:$A$57=$B208)*(Master!$G$2:$G$57+공격력),(Master!$A$2:$A$57=$B208)*Master!$H$2:$H$57,(Master!$A$2:$A$57=$B208)*Master!$D$2:$D$57,(Master!$A$2:$A$57=$B208)*OFFSET(Master!$I$2:$I$57,0,D208-1),(Master!$A$2:$A$57=$B208)*OFFSET(Master!$L$2:$L$57,0,E208-1),(Master!$A$2:$A$57=$B208)*OFFSET(Master!$O$2:$O$57,0,F208-1))</f>
        <v>6182.1565934065929</v>
      </c>
      <c r="H208" s="7">
        <f t="shared" si="7"/>
        <v>1.2980000000000018</v>
      </c>
      <c r="I208" s="79">
        <v>21</v>
      </c>
      <c r="J208" s="78">
        <v>513</v>
      </c>
      <c r="K208" t="str">
        <f>VLOOKUP($B208&amp;1&amp;D208,Sheet3!$A$2:$E$221,5,0)</f>
        <v>올려차기 공격범위 20%증가</v>
      </c>
      <c r="L208" t="str">
        <f>VLOOKUP($B208&amp;2&amp;E208,Sheet3!$A$2:$E$221,5,0)</f>
        <v>쿨 4초 감소</v>
      </c>
      <c r="M208" t="str">
        <f>VLOOKUP($B208&amp;3&amp;F208,Sheet3!$A$2:$E$221,5,0)</f>
        <v>수속성, 막타뎀증 50% + 적 띄움</v>
      </c>
      <c r="N208">
        <v>17.132999999999999</v>
      </c>
      <c r="O208">
        <v>18.431000000000001</v>
      </c>
    </row>
    <row r="209" spans="1:15">
      <c r="A209" t="str">
        <f t="shared" si="6"/>
        <v>잠룡10221</v>
      </c>
      <c r="B209" s="16" t="s">
        <v>31</v>
      </c>
      <c r="C209" s="16">
        <v>10</v>
      </c>
      <c r="D209" s="16">
        <v>2</v>
      </c>
      <c r="E209" s="16">
        <v>2</v>
      </c>
      <c r="F209" s="16">
        <v>1</v>
      </c>
      <c r="G209" s="1">
        <f ca="1">SUMPRODUCT((Master!$A$2:$A$57=$B209)*(Master!$G$2:$G$57+공격력),(Master!$A$2:$A$57=$B209)*Master!$H$2:$H$57,(Master!$A$2:$A$57=$B209)*Master!$D$2:$D$57,(Master!$A$2:$A$57=$B209)*OFFSET(Master!$I$2:$I$57,0,D209-1),(Master!$A$2:$A$57=$B209)*OFFSET(Master!$L$2:$L$57,0,E209-1),(Master!$A$2:$A$57=$B209)*OFFSET(Master!$O$2:$O$57,0,F209-1))</f>
        <v>6664.368131868132</v>
      </c>
      <c r="H209" s="7">
        <f t="shared" si="7"/>
        <v>1.6659999999999968</v>
      </c>
      <c r="I209" s="79">
        <v>21</v>
      </c>
      <c r="J209" s="78">
        <v>513</v>
      </c>
      <c r="K209" t="str">
        <f>VLOOKUP($B209&amp;1&amp;D209,Sheet3!$A$2:$E$221,5,0)</f>
        <v>올려차기 공격범위 20%증가</v>
      </c>
      <c r="L209" t="str">
        <f>VLOOKUP($B209&amp;2&amp;E209,Sheet3!$A$2:$E$221,5,0)</f>
        <v>돌진피해 100%증가</v>
      </c>
      <c r="M209" t="str">
        <f>VLOOKUP($B209&amp;3&amp;F209,Sheet3!$A$2:$E$221,5,0)</f>
        <v>돌진중 윈드밀 사용가능 + 넘어뜨림(시전시간 측정 부정확)</v>
      </c>
      <c r="N209">
        <v>54.947000000000003</v>
      </c>
      <c r="O209">
        <v>56.613</v>
      </c>
    </row>
    <row r="210" spans="1:15">
      <c r="A210" t="str">
        <f t="shared" si="6"/>
        <v>잠룡10222</v>
      </c>
      <c r="B210" s="16" t="s">
        <v>31</v>
      </c>
      <c r="C210" s="16">
        <v>10</v>
      </c>
      <c r="D210" s="16">
        <v>2</v>
      </c>
      <c r="E210" s="16">
        <v>2</v>
      </c>
      <c r="F210" s="16">
        <v>2</v>
      </c>
      <c r="G210" s="1">
        <f ca="1">SUMPRODUCT((Master!$A$2:$A$57=$B210)*(Master!$G$2:$G$57+공격력),(Master!$A$2:$A$57=$B210)*Master!$H$2:$H$57,(Master!$A$2:$A$57=$B210)*Master!$D$2:$D$57,(Master!$A$2:$A$57=$B210)*OFFSET(Master!$I$2:$I$57,0,D210-1),(Master!$A$2:$A$57=$B210)*OFFSET(Master!$L$2:$L$57,0,E210-1),(Master!$A$2:$A$57=$B210)*OFFSET(Master!$O$2:$O$57,0,F210-1))</f>
        <v>8089.354395604395</v>
      </c>
      <c r="H210" s="7">
        <f t="shared" si="7"/>
        <v>1.2980000000000018</v>
      </c>
      <c r="I210" s="79">
        <v>21</v>
      </c>
      <c r="J210" s="78">
        <v>513</v>
      </c>
      <c r="K210" t="str">
        <f>VLOOKUP($B210&amp;1&amp;D210,Sheet3!$A$2:$E$221,5,0)</f>
        <v>올려차기 공격범위 20%증가</v>
      </c>
      <c r="L210" t="str">
        <f>VLOOKUP($B210&amp;2&amp;E210,Sheet3!$A$2:$E$221,5,0)</f>
        <v>돌진피해 100%증가</v>
      </c>
      <c r="M210" t="str">
        <f>VLOOKUP($B210&amp;3&amp;F210,Sheet3!$A$2:$E$221,5,0)</f>
        <v>수속성, 막타뎀증 50% + 적 띄움</v>
      </c>
      <c r="N210">
        <v>17.132999999999999</v>
      </c>
      <c r="O210">
        <v>18.431000000000001</v>
      </c>
    </row>
    <row r="211" spans="1:15">
      <c r="A211" t="str">
        <f t="shared" si="6"/>
        <v>잠룡10231</v>
      </c>
      <c r="B211" s="16" t="s">
        <v>31</v>
      </c>
      <c r="C211" s="16">
        <v>10</v>
      </c>
      <c r="D211" s="16">
        <v>2</v>
      </c>
      <c r="E211" s="16">
        <v>3</v>
      </c>
      <c r="F211" s="16">
        <v>1</v>
      </c>
      <c r="G211" s="1">
        <f ca="1">SUMPRODUCT((Master!$A$2:$A$57=$B211)*(Master!$G$2:$G$57+공격력),(Master!$A$2:$A$57=$B211)*Master!$H$2:$H$57,(Master!$A$2:$A$57=$B211)*Master!$D$2:$D$57,(Master!$A$2:$A$57=$B211)*OFFSET(Master!$I$2:$I$57,0,D211-1),(Master!$A$2:$A$57=$B211)*OFFSET(Master!$L$2:$L$57,0,E211-1),(Master!$A$2:$A$57=$B211)*OFFSET(Master!$O$2:$O$57,0,F211-1))</f>
        <v>4757.170329670329</v>
      </c>
      <c r="H211" s="7">
        <f t="shared" si="7"/>
        <v>1.6659999999999968</v>
      </c>
      <c r="I211" s="79">
        <v>21</v>
      </c>
      <c r="J211" s="78">
        <v>513</v>
      </c>
      <c r="K211" t="str">
        <f>VLOOKUP($B211&amp;1&amp;D211,Sheet3!$A$2:$E$221,5,0)</f>
        <v>올려차기 공격범위 20%증가</v>
      </c>
      <c r="L211" t="str">
        <f>VLOOKUP($B211&amp;2&amp;E211,Sheet3!$A$2:$E$221,5,0)</f>
        <v>막타 적중시 공격력 20%증가 3초</v>
      </c>
      <c r="M211" t="str">
        <f>VLOOKUP($B211&amp;3&amp;F211,Sheet3!$A$2:$E$221,5,0)</f>
        <v>돌진중 윈드밀 사용가능 + 넘어뜨림(시전시간 측정 부정확)</v>
      </c>
      <c r="N211">
        <v>54.947000000000003</v>
      </c>
      <c r="O211">
        <v>56.613</v>
      </c>
    </row>
    <row r="212" spans="1:15">
      <c r="A212" t="str">
        <f t="shared" si="6"/>
        <v>잠룡10232</v>
      </c>
      <c r="B212" s="16" t="s">
        <v>31</v>
      </c>
      <c r="C212" s="16">
        <v>10</v>
      </c>
      <c r="D212" s="16">
        <v>2</v>
      </c>
      <c r="E212" s="16">
        <v>3</v>
      </c>
      <c r="F212" s="16">
        <v>2</v>
      </c>
      <c r="G212" s="1">
        <f ca="1">SUMPRODUCT((Master!$A$2:$A$57=$B212)*(Master!$G$2:$G$57+공격력),(Master!$A$2:$A$57=$B212)*Master!$H$2:$H$57,(Master!$A$2:$A$57=$B212)*Master!$D$2:$D$57,(Master!$A$2:$A$57=$B212)*OFFSET(Master!$I$2:$I$57,0,D212-1),(Master!$A$2:$A$57=$B212)*OFFSET(Master!$L$2:$L$57,0,E212-1),(Master!$A$2:$A$57=$B212)*OFFSET(Master!$O$2:$O$57,0,F212-1))</f>
        <v>6182.1565934065929</v>
      </c>
      <c r="H212" s="7">
        <f t="shared" si="7"/>
        <v>1.2980000000000018</v>
      </c>
      <c r="I212" s="79">
        <v>21</v>
      </c>
      <c r="J212" s="78">
        <v>513</v>
      </c>
      <c r="K212" t="str">
        <f>VLOOKUP($B212&amp;1&amp;D212,Sheet3!$A$2:$E$221,5,0)</f>
        <v>올려차기 공격범위 20%증가</v>
      </c>
      <c r="L212" t="str">
        <f>VLOOKUP($B212&amp;2&amp;E212,Sheet3!$A$2:$E$221,5,0)</f>
        <v>막타 적중시 공격력 20%증가 3초</v>
      </c>
      <c r="M212" t="str">
        <f>VLOOKUP($B212&amp;3&amp;F212,Sheet3!$A$2:$E$221,5,0)</f>
        <v>수속성, 막타뎀증 50% + 적 띄움</v>
      </c>
      <c r="N212">
        <v>17.132999999999999</v>
      </c>
      <c r="O212">
        <v>18.431000000000001</v>
      </c>
    </row>
    <row r="213" spans="1:15">
      <c r="A213" t="str">
        <f t="shared" si="6"/>
        <v>잠룡10311</v>
      </c>
      <c r="B213" s="16" t="s">
        <v>31</v>
      </c>
      <c r="C213" s="16">
        <v>10</v>
      </c>
      <c r="D213" s="16">
        <v>3</v>
      </c>
      <c r="E213" s="16">
        <v>1</v>
      </c>
      <c r="F213" s="16">
        <v>1</v>
      </c>
      <c r="G213" s="1">
        <f ca="1">SUMPRODUCT((Master!$A$2:$A$57=$B213)*(Master!$G$2:$G$57+공격력),(Master!$A$2:$A$57=$B213)*Master!$H$2:$H$57,(Master!$A$2:$A$57=$B213)*Master!$D$2:$D$57,(Master!$A$2:$A$57=$B213)*OFFSET(Master!$I$2:$I$57,0,D213-1),(Master!$A$2:$A$57=$B213)*OFFSET(Master!$L$2:$L$57,0,E213-1),(Master!$A$2:$A$57=$B213)*OFFSET(Master!$O$2:$O$57,0,F213-1))</f>
        <v>4757.170329670329</v>
      </c>
      <c r="H213" s="7">
        <f t="shared" si="7"/>
        <v>1.6659999999999968</v>
      </c>
      <c r="I213" s="79">
        <v>21</v>
      </c>
      <c r="J213" s="78">
        <v>513</v>
      </c>
      <c r="K213" t="str">
        <f>VLOOKUP($B213&amp;1&amp;D213,Sheet3!$A$2:$E$221,5,0)</f>
        <v>치명타 적중룔 15%증가</v>
      </c>
      <c r="L213" t="str">
        <f>VLOOKUP($B213&amp;2&amp;E213,Sheet3!$A$2:$E$221,5,0)</f>
        <v>쿨 4초 감소</v>
      </c>
      <c r="M213" t="str">
        <f>VLOOKUP($B213&amp;3&amp;F213,Sheet3!$A$2:$E$221,5,0)</f>
        <v>돌진중 윈드밀 사용가능 + 넘어뜨림(시전시간 측정 부정확)</v>
      </c>
      <c r="N213">
        <v>54.947000000000003</v>
      </c>
      <c r="O213">
        <v>56.613</v>
      </c>
    </row>
    <row r="214" spans="1:15">
      <c r="A214" t="str">
        <f t="shared" si="6"/>
        <v>잠룡10312</v>
      </c>
      <c r="B214" s="16" t="s">
        <v>31</v>
      </c>
      <c r="C214" s="16">
        <v>10</v>
      </c>
      <c r="D214" s="16">
        <v>3</v>
      </c>
      <c r="E214" s="16">
        <v>1</v>
      </c>
      <c r="F214" s="16">
        <v>2</v>
      </c>
      <c r="G214" s="1">
        <f ca="1">SUMPRODUCT((Master!$A$2:$A$57=$B214)*(Master!$G$2:$G$57+공격력),(Master!$A$2:$A$57=$B214)*Master!$H$2:$H$57,(Master!$A$2:$A$57=$B214)*Master!$D$2:$D$57,(Master!$A$2:$A$57=$B214)*OFFSET(Master!$I$2:$I$57,0,D214-1),(Master!$A$2:$A$57=$B214)*OFFSET(Master!$L$2:$L$57,0,E214-1),(Master!$A$2:$A$57=$B214)*OFFSET(Master!$O$2:$O$57,0,F214-1))</f>
        <v>6182.1565934065929</v>
      </c>
      <c r="H214" s="7">
        <f t="shared" si="7"/>
        <v>1.2980000000000018</v>
      </c>
      <c r="I214" s="79">
        <v>21</v>
      </c>
      <c r="J214" s="78">
        <v>513</v>
      </c>
      <c r="K214" t="str">
        <f>VLOOKUP($B214&amp;1&amp;D214,Sheet3!$A$2:$E$221,5,0)</f>
        <v>치명타 적중룔 15%증가</v>
      </c>
      <c r="L214" t="str">
        <f>VLOOKUP($B214&amp;2&amp;E214,Sheet3!$A$2:$E$221,5,0)</f>
        <v>쿨 4초 감소</v>
      </c>
      <c r="M214" t="str">
        <f>VLOOKUP($B214&amp;3&amp;F214,Sheet3!$A$2:$E$221,5,0)</f>
        <v>수속성, 막타뎀증 50% + 적 띄움</v>
      </c>
      <c r="N214">
        <v>17.132999999999999</v>
      </c>
      <c r="O214">
        <v>18.431000000000001</v>
      </c>
    </row>
    <row r="215" spans="1:15">
      <c r="A215" t="str">
        <f t="shared" si="6"/>
        <v>잠룡10321</v>
      </c>
      <c r="B215" s="16" t="s">
        <v>31</v>
      </c>
      <c r="C215" s="16">
        <v>10</v>
      </c>
      <c r="D215" s="16">
        <v>3</v>
      </c>
      <c r="E215" s="16">
        <v>2</v>
      </c>
      <c r="F215" s="16">
        <v>1</v>
      </c>
      <c r="G215" s="1">
        <f ca="1">SUMPRODUCT((Master!$A$2:$A$57=$B215)*(Master!$G$2:$G$57+공격력),(Master!$A$2:$A$57=$B215)*Master!$H$2:$H$57,(Master!$A$2:$A$57=$B215)*Master!$D$2:$D$57,(Master!$A$2:$A$57=$B215)*OFFSET(Master!$I$2:$I$57,0,D215-1),(Master!$A$2:$A$57=$B215)*OFFSET(Master!$L$2:$L$57,0,E215-1),(Master!$A$2:$A$57=$B215)*OFFSET(Master!$O$2:$O$57,0,F215-1))</f>
        <v>6664.368131868132</v>
      </c>
      <c r="H215" s="7">
        <f t="shared" si="7"/>
        <v>1.6659999999999968</v>
      </c>
      <c r="I215" s="79">
        <v>21</v>
      </c>
      <c r="J215" s="78">
        <v>513</v>
      </c>
      <c r="K215" t="str">
        <f>VLOOKUP($B215&amp;1&amp;D215,Sheet3!$A$2:$E$221,5,0)</f>
        <v>치명타 적중룔 15%증가</v>
      </c>
      <c r="L215" t="str">
        <f>VLOOKUP($B215&amp;2&amp;E215,Sheet3!$A$2:$E$221,5,0)</f>
        <v>돌진피해 100%증가</v>
      </c>
      <c r="M215" t="str">
        <f>VLOOKUP($B215&amp;3&amp;F215,Sheet3!$A$2:$E$221,5,0)</f>
        <v>돌진중 윈드밀 사용가능 + 넘어뜨림(시전시간 측정 부정확)</v>
      </c>
      <c r="N215">
        <v>54.947000000000003</v>
      </c>
      <c r="O215">
        <v>56.613</v>
      </c>
    </row>
    <row r="216" spans="1:15">
      <c r="A216" t="str">
        <f t="shared" si="6"/>
        <v>잠룡10322</v>
      </c>
      <c r="B216" s="16" t="s">
        <v>31</v>
      </c>
      <c r="C216" s="16">
        <v>10</v>
      </c>
      <c r="D216" s="16">
        <v>3</v>
      </c>
      <c r="E216" s="16">
        <v>2</v>
      </c>
      <c r="F216" s="16">
        <v>2</v>
      </c>
      <c r="G216" s="1">
        <f ca="1">SUMPRODUCT((Master!$A$2:$A$57=$B216)*(Master!$G$2:$G$57+공격력),(Master!$A$2:$A$57=$B216)*Master!$H$2:$H$57,(Master!$A$2:$A$57=$B216)*Master!$D$2:$D$57,(Master!$A$2:$A$57=$B216)*OFFSET(Master!$I$2:$I$57,0,D216-1),(Master!$A$2:$A$57=$B216)*OFFSET(Master!$L$2:$L$57,0,E216-1),(Master!$A$2:$A$57=$B216)*OFFSET(Master!$O$2:$O$57,0,F216-1))</f>
        <v>8089.354395604395</v>
      </c>
      <c r="H216" s="7">
        <f t="shared" si="7"/>
        <v>1.2980000000000018</v>
      </c>
      <c r="I216" s="79">
        <v>21</v>
      </c>
      <c r="J216" s="78">
        <v>513</v>
      </c>
      <c r="K216" t="str">
        <f>VLOOKUP($B216&amp;1&amp;D216,Sheet3!$A$2:$E$221,5,0)</f>
        <v>치명타 적중룔 15%증가</v>
      </c>
      <c r="L216" t="str">
        <f>VLOOKUP($B216&amp;2&amp;E216,Sheet3!$A$2:$E$221,5,0)</f>
        <v>돌진피해 100%증가</v>
      </c>
      <c r="M216" t="str">
        <f>VLOOKUP($B216&amp;3&amp;F216,Sheet3!$A$2:$E$221,5,0)</f>
        <v>수속성, 막타뎀증 50% + 적 띄움</v>
      </c>
      <c r="N216">
        <v>17.132999999999999</v>
      </c>
      <c r="O216">
        <v>18.431000000000001</v>
      </c>
    </row>
    <row r="217" spans="1:15">
      <c r="A217" t="str">
        <f t="shared" si="6"/>
        <v>잠룡10331</v>
      </c>
      <c r="B217" s="16" t="s">
        <v>31</v>
      </c>
      <c r="C217" s="16">
        <v>10</v>
      </c>
      <c r="D217" s="16">
        <v>3</v>
      </c>
      <c r="E217" s="16">
        <v>3</v>
      </c>
      <c r="F217" s="16">
        <v>1</v>
      </c>
      <c r="G217" s="1">
        <f ca="1">SUMPRODUCT((Master!$A$2:$A$57=$B217)*(Master!$G$2:$G$57+공격력),(Master!$A$2:$A$57=$B217)*Master!$H$2:$H$57,(Master!$A$2:$A$57=$B217)*Master!$D$2:$D$57,(Master!$A$2:$A$57=$B217)*OFFSET(Master!$I$2:$I$57,0,D217-1),(Master!$A$2:$A$57=$B217)*OFFSET(Master!$L$2:$L$57,0,E217-1),(Master!$A$2:$A$57=$B217)*OFFSET(Master!$O$2:$O$57,0,F217-1))</f>
        <v>4757.170329670329</v>
      </c>
      <c r="H217" s="7">
        <f t="shared" si="7"/>
        <v>1.6659999999999968</v>
      </c>
      <c r="I217" s="79">
        <v>21</v>
      </c>
      <c r="J217" s="78">
        <v>513</v>
      </c>
      <c r="K217" t="str">
        <f>VLOOKUP($B217&amp;1&amp;D217,Sheet3!$A$2:$E$221,5,0)</f>
        <v>치명타 적중룔 15%증가</v>
      </c>
      <c r="L217" t="str">
        <f>VLOOKUP($B217&amp;2&amp;E217,Sheet3!$A$2:$E$221,5,0)</f>
        <v>막타 적중시 공격력 20%증가 3초</v>
      </c>
      <c r="M217" t="str">
        <f>VLOOKUP($B217&amp;3&amp;F217,Sheet3!$A$2:$E$221,5,0)</f>
        <v>돌진중 윈드밀 사용가능 + 넘어뜨림(시전시간 측정 부정확)</v>
      </c>
      <c r="N217">
        <v>54.947000000000003</v>
      </c>
      <c r="O217">
        <v>56.613</v>
      </c>
    </row>
    <row r="218" spans="1:15">
      <c r="A218" t="str">
        <f t="shared" si="6"/>
        <v>잠룡10332</v>
      </c>
      <c r="B218" s="16" t="s">
        <v>31</v>
      </c>
      <c r="C218" s="16">
        <v>10</v>
      </c>
      <c r="D218" s="16">
        <v>3</v>
      </c>
      <c r="E218" s="16">
        <v>3</v>
      </c>
      <c r="F218" s="16">
        <v>2</v>
      </c>
      <c r="G218" s="1">
        <f ca="1">SUMPRODUCT((Master!$A$2:$A$57=$B218)*(Master!$G$2:$G$57+공격력),(Master!$A$2:$A$57=$B218)*Master!$H$2:$H$57,(Master!$A$2:$A$57=$B218)*Master!$D$2:$D$57,(Master!$A$2:$A$57=$B218)*OFFSET(Master!$I$2:$I$57,0,D218-1),(Master!$A$2:$A$57=$B218)*OFFSET(Master!$L$2:$L$57,0,E218-1),(Master!$A$2:$A$57=$B218)*OFFSET(Master!$O$2:$O$57,0,F218-1))</f>
        <v>6182.1565934065929</v>
      </c>
      <c r="H218" s="7">
        <f t="shared" si="7"/>
        <v>1.2980000000000018</v>
      </c>
      <c r="I218" s="79">
        <v>21</v>
      </c>
      <c r="J218" s="78">
        <v>513</v>
      </c>
      <c r="K218" t="str">
        <f>VLOOKUP($B218&amp;1&amp;D218,Sheet3!$A$2:$E$221,5,0)</f>
        <v>치명타 적중룔 15%증가</v>
      </c>
      <c r="L218" t="str">
        <f>VLOOKUP($B218&amp;2&amp;E218,Sheet3!$A$2:$E$221,5,0)</f>
        <v>막타 적중시 공격력 20%증가 3초</v>
      </c>
      <c r="M218" t="str">
        <f>VLOOKUP($B218&amp;3&amp;F218,Sheet3!$A$2:$E$221,5,0)</f>
        <v>수속성, 막타뎀증 50% + 적 띄움</v>
      </c>
      <c r="N218">
        <v>17.132999999999999</v>
      </c>
      <c r="O218">
        <v>18.431000000000001</v>
      </c>
    </row>
    <row r="219" spans="1:15">
      <c r="A219" t="str">
        <f t="shared" si="6"/>
        <v>지뢰10111</v>
      </c>
      <c r="B219" s="16" t="s">
        <v>26</v>
      </c>
      <c r="C219" s="16">
        <v>10</v>
      </c>
      <c r="D219" s="16">
        <v>1</v>
      </c>
      <c r="E219" s="16">
        <v>1</v>
      </c>
      <c r="F219" s="16">
        <v>1</v>
      </c>
      <c r="G219" s="1">
        <f ca="1">SUMPRODUCT((Master!$A$2:$A$57=$B219)*(Master!$G$2:$G$57+공격력),(Master!$A$2:$A$57=$B219)*Master!$H$2:$H$57,(Master!$A$2:$A$57=$B219)*Master!$D$2:$D$57,(Master!$A$2:$A$57=$B219)*OFFSET(Master!$I$2:$I$57,0,D219-1),(Master!$A$2:$A$57=$B219)*OFFSET(Master!$L$2:$L$57,0,E219-1),(Master!$A$2:$A$57=$B219)*OFFSET(Master!$O$2:$O$57,0,F219-1))</f>
        <v>1399.1832460732985</v>
      </c>
      <c r="H219" s="7">
        <f t="shared" si="7"/>
        <v>1.101</v>
      </c>
      <c r="I219" s="79">
        <v>27</v>
      </c>
      <c r="J219" s="78">
        <v>495</v>
      </c>
      <c r="K219" t="str">
        <f>VLOOKUP($B219&amp;1&amp;D219,Sheet3!$A$2:$E$221,5,0)</f>
        <v>첫타에 적 넘어뜨림</v>
      </c>
      <c r="L219" t="str">
        <f>VLOOKUP($B219&amp;2&amp;E219,Sheet3!$A$2:$E$221,5,0)</f>
        <v>-</v>
      </c>
      <c r="M219" t="str">
        <f>VLOOKUP($B219&amp;3&amp;F219,Sheet3!$A$2:$E$221,5,0)</f>
        <v>폭발회수 3회 감소</v>
      </c>
      <c r="N219">
        <v>4.0810000000000004</v>
      </c>
      <c r="O219">
        <v>5.1820000000000004</v>
      </c>
    </row>
    <row r="220" spans="1:15">
      <c r="A220" t="str">
        <f t="shared" si="6"/>
        <v>지뢰10112</v>
      </c>
      <c r="B220" s="16" t="s">
        <v>26</v>
      </c>
      <c r="C220" s="16">
        <v>10</v>
      </c>
      <c r="D220" s="16">
        <v>1</v>
      </c>
      <c r="E220" s="16">
        <v>1</v>
      </c>
      <c r="F220" s="16">
        <v>2</v>
      </c>
      <c r="G220" s="1">
        <f ca="1">SUMPRODUCT((Master!$A$2:$A$57=$B220)*(Master!$G$2:$G$57+공격력),(Master!$A$2:$A$57=$B220)*Master!$H$2:$H$57,(Master!$A$2:$A$57=$B220)*Master!$D$2:$D$57,(Master!$A$2:$A$57=$B220)*OFFSET(Master!$I$2:$I$57,0,D220-1),(Master!$A$2:$A$57=$B220)*OFFSET(Master!$L$2:$L$57,0,E220-1),(Master!$A$2:$A$57=$B220)*OFFSET(Master!$O$2:$O$57,0,F220-1))</f>
        <v>1399.1832460732985</v>
      </c>
      <c r="H220" s="7">
        <f t="shared" si="7"/>
        <v>1.101</v>
      </c>
      <c r="I220" s="79">
        <v>39</v>
      </c>
      <c r="J220" s="78">
        <v>479</v>
      </c>
      <c r="K220" t="str">
        <f>VLOOKUP($B220&amp;1&amp;D220,Sheet3!$A$2:$E$221,5,0)</f>
        <v>첫타에 적 넘어뜨림</v>
      </c>
      <c r="L220" t="str">
        <f>VLOOKUP($B220&amp;2&amp;E220,Sheet3!$A$2:$E$221,5,0)</f>
        <v>-</v>
      </c>
      <c r="M220" t="str">
        <f>VLOOKUP($B220&amp;3&amp;F220,Sheet3!$A$2:$E$221,5,0)</f>
        <v>폭발회수 2회 증가</v>
      </c>
      <c r="N220">
        <v>4.0810000000000004</v>
      </c>
      <c r="O220">
        <v>5.1820000000000004</v>
      </c>
    </row>
    <row r="221" spans="1:15">
      <c r="A221" t="str">
        <f t="shared" si="6"/>
        <v>지뢰10121</v>
      </c>
      <c r="B221" s="16" t="s">
        <v>26</v>
      </c>
      <c r="C221" s="16">
        <v>10</v>
      </c>
      <c r="D221" s="16">
        <v>1</v>
      </c>
      <c r="E221" s="16">
        <v>2</v>
      </c>
      <c r="F221" s="16">
        <v>1</v>
      </c>
      <c r="G221" s="1">
        <f ca="1">SUMPRODUCT((Master!$A$2:$A$57=$B221)*(Master!$G$2:$G$57+공격력),(Master!$A$2:$A$57=$B221)*Master!$H$2:$H$57,(Master!$A$2:$A$57=$B221)*Master!$D$2:$D$57,(Master!$A$2:$A$57=$B221)*OFFSET(Master!$I$2:$I$57,0,D221-1),(Master!$A$2:$A$57=$B221)*OFFSET(Master!$L$2:$L$57,0,E221-1),(Master!$A$2:$A$57=$B221)*OFFSET(Master!$O$2:$O$57,0,F221-1))</f>
        <v>1958.8565445026177</v>
      </c>
      <c r="H221" s="7">
        <f t="shared" si="7"/>
        <v>1.101</v>
      </c>
      <c r="I221" s="79">
        <v>27</v>
      </c>
      <c r="J221" s="78">
        <v>495</v>
      </c>
      <c r="K221" t="str">
        <f>VLOOKUP($B221&amp;1&amp;D221,Sheet3!$A$2:$E$221,5,0)</f>
        <v>첫타에 적 넘어뜨림</v>
      </c>
      <c r="L221" t="str">
        <f>VLOOKUP($B221&amp;2&amp;E221,Sheet3!$A$2:$E$221,5,0)</f>
        <v>-</v>
      </c>
      <c r="M221" t="str">
        <f>VLOOKUP($B221&amp;3&amp;F221,Sheet3!$A$2:$E$221,5,0)</f>
        <v>폭발회수 3회 감소</v>
      </c>
      <c r="N221">
        <v>4.0810000000000004</v>
      </c>
      <c r="O221">
        <v>5.1820000000000004</v>
      </c>
    </row>
    <row r="222" spans="1:15">
      <c r="A222" t="str">
        <f t="shared" si="6"/>
        <v>지뢰10122</v>
      </c>
      <c r="B222" s="16" t="s">
        <v>26</v>
      </c>
      <c r="C222" s="16">
        <v>10</v>
      </c>
      <c r="D222" s="16">
        <v>1</v>
      </c>
      <c r="E222" s="16">
        <v>2</v>
      </c>
      <c r="F222" s="16">
        <v>2</v>
      </c>
      <c r="G222" s="1">
        <f ca="1">SUMPRODUCT((Master!$A$2:$A$57=$B222)*(Master!$G$2:$G$57+공격력),(Master!$A$2:$A$57=$B222)*Master!$H$2:$H$57,(Master!$A$2:$A$57=$B222)*Master!$D$2:$D$57,(Master!$A$2:$A$57=$B222)*OFFSET(Master!$I$2:$I$57,0,D222-1),(Master!$A$2:$A$57=$B222)*OFFSET(Master!$L$2:$L$57,0,E222-1),(Master!$A$2:$A$57=$B222)*OFFSET(Master!$O$2:$O$57,0,F222-1))</f>
        <v>1958.8565445026177</v>
      </c>
      <c r="H222" s="7">
        <f t="shared" si="7"/>
        <v>1.101</v>
      </c>
      <c r="I222" s="79">
        <v>39</v>
      </c>
      <c r="J222" s="78">
        <v>479</v>
      </c>
      <c r="K222" t="str">
        <f>VLOOKUP($B222&amp;1&amp;D222,Sheet3!$A$2:$E$221,5,0)</f>
        <v>첫타에 적 넘어뜨림</v>
      </c>
      <c r="L222" t="str">
        <f>VLOOKUP($B222&amp;2&amp;E222,Sheet3!$A$2:$E$221,5,0)</f>
        <v>-</v>
      </c>
      <c r="M222" t="str">
        <f>VLOOKUP($B222&amp;3&amp;F222,Sheet3!$A$2:$E$221,5,0)</f>
        <v>폭발회수 2회 증가</v>
      </c>
      <c r="N222">
        <v>4.0810000000000004</v>
      </c>
      <c r="O222">
        <v>5.1820000000000004</v>
      </c>
    </row>
    <row r="223" spans="1:15">
      <c r="A223" t="str">
        <f t="shared" si="6"/>
        <v>지뢰10131</v>
      </c>
      <c r="B223" s="16" t="s">
        <v>26</v>
      </c>
      <c r="C223" s="16">
        <v>10</v>
      </c>
      <c r="D223" s="16">
        <v>1</v>
      </c>
      <c r="E223" s="16">
        <v>3</v>
      </c>
      <c r="F223" s="16">
        <v>1</v>
      </c>
      <c r="G223" s="1">
        <f ca="1">SUMPRODUCT((Master!$A$2:$A$57=$B223)*(Master!$G$2:$G$57+공격력),(Master!$A$2:$A$57=$B223)*Master!$H$2:$H$57,(Master!$A$2:$A$57=$B223)*Master!$D$2:$D$57,(Master!$A$2:$A$57=$B223)*OFFSET(Master!$I$2:$I$57,0,D223-1),(Master!$A$2:$A$57=$B223)*OFFSET(Master!$L$2:$L$57,0,E223-1),(Master!$A$2:$A$57=$B223)*OFFSET(Master!$O$2:$O$57,0,F223-1))</f>
        <v>1399.1832460732985</v>
      </c>
      <c r="H223" s="7">
        <f t="shared" si="7"/>
        <v>1.0659999999999954</v>
      </c>
      <c r="I223" s="79">
        <v>27</v>
      </c>
      <c r="J223" s="78">
        <v>495</v>
      </c>
      <c r="K223" t="str">
        <f>VLOOKUP($B223&amp;1&amp;D223,Sheet3!$A$2:$E$221,5,0)</f>
        <v>첫타에 적 넘어뜨림</v>
      </c>
      <c r="L223" t="str">
        <f>VLOOKUP($B223&amp;2&amp;E223,Sheet3!$A$2:$E$221,5,0)</f>
        <v>발동이 빠라진다(라고 적혀있지만 거의 차이없다)</v>
      </c>
      <c r="M223" t="str">
        <f>VLOOKUP($B223&amp;3&amp;F223,Sheet3!$A$2:$E$221,5,0)</f>
        <v>폭발회수 3회 감소</v>
      </c>
      <c r="N223">
        <v>33.615000000000002</v>
      </c>
      <c r="O223">
        <v>34.680999999999997</v>
      </c>
    </row>
    <row r="224" spans="1:15">
      <c r="A224" t="str">
        <f t="shared" si="6"/>
        <v>지뢰10132</v>
      </c>
      <c r="B224" s="16" t="s">
        <v>26</v>
      </c>
      <c r="C224" s="16">
        <v>10</v>
      </c>
      <c r="D224" s="16">
        <v>1</v>
      </c>
      <c r="E224" s="16">
        <v>3</v>
      </c>
      <c r="F224" s="16">
        <v>2</v>
      </c>
      <c r="G224" s="1">
        <f ca="1">SUMPRODUCT((Master!$A$2:$A$57=$B224)*(Master!$G$2:$G$57+공격력),(Master!$A$2:$A$57=$B224)*Master!$H$2:$H$57,(Master!$A$2:$A$57=$B224)*Master!$D$2:$D$57,(Master!$A$2:$A$57=$B224)*OFFSET(Master!$I$2:$I$57,0,D224-1),(Master!$A$2:$A$57=$B224)*OFFSET(Master!$L$2:$L$57,0,E224-1),(Master!$A$2:$A$57=$B224)*OFFSET(Master!$O$2:$O$57,0,F224-1))</f>
        <v>1399.1832460732985</v>
      </c>
      <c r="H224" s="7">
        <f t="shared" si="7"/>
        <v>1.0659999999999954</v>
      </c>
      <c r="I224" s="79">
        <v>39</v>
      </c>
      <c r="J224" s="78">
        <v>479</v>
      </c>
      <c r="K224" t="str">
        <f>VLOOKUP($B224&amp;1&amp;D224,Sheet3!$A$2:$E$221,5,0)</f>
        <v>첫타에 적 넘어뜨림</v>
      </c>
      <c r="L224" t="str">
        <f>VLOOKUP($B224&amp;2&amp;E224,Sheet3!$A$2:$E$221,5,0)</f>
        <v>발동이 빠라진다(라고 적혀있지만 거의 차이없다)</v>
      </c>
      <c r="M224" t="str">
        <f>VLOOKUP($B224&amp;3&amp;F224,Sheet3!$A$2:$E$221,5,0)</f>
        <v>폭발회수 2회 증가</v>
      </c>
      <c r="N224">
        <v>33.615000000000002</v>
      </c>
      <c r="O224">
        <v>34.680999999999997</v>
      </c>
    </row>
    <row r="225" spans="1:15">
      <c r="A225" t="str">
        <f t="shared" si="6"/>
        <v>지뢰10211</v>
      </c>
      <c r="B225" s="16" t="s">
        <v>26</v>
      </c>
      <c r="C225" s="16">
        <v>10</v>
      </c>
      <c r="D225" s="16">
        <v>2</v>
      </c>
      <c r="E225" s="16">
        <v>1</v>
      </c>
      <c r="F225" s="16">
        <v>1</v>
      </c>
      <c r="G225" s="1">
        <f ca="1">SUMPRODUCT((Master!$A$2:$A$57=$B225)*(Master!$G$2:$G$57+공격력),(Master!$A$2:$A$57=$B225)*Master!$H$2:$H$57,(Master!$A$2:$A$57=$B225)*Master!$D$2:$D$57,(Master!$A$2:$A$57=$B225)*OFFSET(Master!$I$2:$I$57,0,D225-1),(Master!$A$2:$A$57=$B225)*OFFSET(Master!$L$2:$L$57,0,E225-1),(Master!$A$2:$A$57=$B225)*OFFSET(Master!$O$2:$O$57,0,F225-1))</f>
        <v>1399.1832460732985</v>
      </c>
      <c r="H225" s="7">
        <f t="shared" si="7"/>
        <v>1.101</v>
      </c>
      <c r="I225" s="79">
        <v>27</v>
      </c>
      <c r="J225" s="78">
        <v>495</v>
      </c>
      <c r="K225" t="str">
        <f>VLOOKUP($B225&amp;1&amp;D225,Sheet3!$A$2:$E$221,5,0)</f>
        <v>-</v>
      </c>
      <c r="L225" t="str">
        <f>VLOOKUP($B225&amp;2&amp;E225,Sheet3!$A$2:$E$221,5,0)</f>
        <v>-</v>
      </c>
      <c r="M225" t="str">
        <f>VLOOKUP($B225&amp;3&amp;F225,Sheet3!$A$2:$E$221,5,0)</f>
        <v>폭발회수 3회 감소</v>
      </c>
      <c r="N225">
        <v>4.0810000000000004</v>
      </c>
      <c r="O225">
        <v>5.1820000000000004</v>
      </c>
    </row>
    <row r="226" spans="1:15">
      <c r="A226" t="str">
        <f t="shared" si="6"/>
        <v>지뢰10212</v>
      </c>
      <c r="B226" s="16" t="s">
        <v>26</v>
      </c>
      <c r="C226" s="16">
        <v>10</v>
      </c>
      <c r="D226" s="16">
        <v>2</v>
      </c>
      <c r="E226" s="16">
        <v>1</v>
      </c>
      <c r="F226" s="16">
        <v>2</v>
      </c>
      <c r="G226" s="1">
        <f ca="1">SUMPRODUCT((Master!$A$2:$A$57=$B226)*(Master!$G$2:$G$57+공격력),(Master!$A$2:$A$57=$B226)*Master!$H$2:$H$57,(Master!$A$2:$A$57=$B226)*Master!$D$2:$D$57,(Master!$A$2:$A$57=$B226)*OFFSET(Master!$I$2:$I$57,0,D226-1),(Master!$A$2:$A$57=$B226)*OFFSET(Master!$L$2:$L$57,0,E226-1),(Master!$A$2:$A$57=$B226)*OFFSET(Master!$O$2:$O$57,0,F226-1))</f>
        <v>1399.1832460732985</v>
      </c>
      <c r="H226" s="7">
        <f t="shared" si="7"/>
        <v>1.101</v>
      </c>
      <c r="I226" s="79">
        <v>39</v>
      </c>
      <c r="J226" s="78">
        <v>479</v>
      </c>
      <c r="K226" t="str">
        <f>VLOOKUP($B226&amp;1&amp;D226,Sheet3!$A$2:$E$221,5,0)</f>
        <v>-</v>
      </c>
      <c r="L226" t="str">
        <f>VLOOKUP($B226&amp;2&amp;E226,Sheet3!$A$2:$E$221,5,0)</f>
        <v>-</v>
      </c>
      <c r="M226" t="str">
        <f>VLOOKUP($B226&amp;3&amp;F226,Sheet3!$A$2:$E$221,5,0)</f>
        <v>폭발회수 2회 증가</v>
      </c>
      <c r="N226">
        <v>4.0810000000000004</v>
      </c>
      <c r="O226">
        <v>5.1820000000000004</v>
      </c>
    </row>
    <row r="227" spans="1:15">
      <c r="A227" t="str">
        <f t="shared" si="6"/>
        <v>지뢰10221</v>
      </c>
      <c r="B227" s="16" t="s">
        <v>26</v>
      </c>
      <c r="C227" s="16">
        <v>10</v>
      </c>
      <c r="D227" s="16">
        <v>2</v>
      </c>
      <c r="E227" s="16">
        <v>2</v>
      </c>
      <c r="F227" s="16">
        <v>1</v>
      </c>
      <c r="G227" s="1">
        <f ca="1">SUMPRODUCT((Master!$A$2:$A$57=$B227)*(Master!$G$2:$G$57+공격력),(Master!$A$2:$A$57=$B227)*Master!$H$2:$H$57,(Master!$A$2:$A$57=$B227)*Master!$D$2:$D$57,(Master!$A$2:$A$57=$B227)*OFFSET(Master!$I$2:$I$57,0,D227-1),(Master!$A$2:$A$57=$B227)*OFFSET(Master!$L$2:$L$57,0,E227-1),(Master!$A$2:$A$57=$B227)*OFFSET(Master!$O$2:$O$57,0,F227-1))</f>
        <v>1958.8565445026177</v>
      </c>
      <c r="H227" s="7">
        <f t="shared" si="7"/>
        <v>1.101</v>
      </c>
      <c r="I227" s="79">
        <v>27</v>
      </c>
      <c r="J227" s="78">
        <v>495</v>
      </c>
      <c r="K227" t="str">
        <f>VLOOKUP($B227&amp;1&amp;D227,Sheet3!$A$2:$E$221,5,0)</f>
        <v>-</v>
      </c>
      <c r="L227" t="str">
        <f>VLOOKUP($B227&amp;2&amp;E227,Sheet3!$A$2:$E$221,5,0)</f>
        <v>-</v>
      </c>
      <c r="M227" t="str">
        <f>VLOOKUP($B227&amp;3&amp;F227,Sheet3!$A$2:$E$221,5,0)</f>
        <v>폭발회수 3회 감소</v>
      </c>
      <c r="N227">
        <v>4.0810000000000004</v>
      </c>
      <c r="O227">
        <v>5.1820000000000004</v>
      </c>
    </row>
    <row r="228" spans="1:15">
      <c r="A228" t="str">
        <f t="shared" si="6"/>
        <v>지뢰10222</v>
      </c>
      <c r="B228" s="16" t="s">
        <v>26</v>
      </c>
      <c r="C228" s="16">
        <v>10</v>
      </c>
      <c r="D228" s="16">
        <v>2</v>
      </c>
      <c r="E228" s="16">
        <v>2</v>
      </c>
      <c r="F228" s="16">
        <v>2</v>
      </c>
      <c r="G228" s="1">
        <f ca="1">SUMPRODUCT((Master!$A$2:$A$57=$B228)*(Master!$G$2:$G$57+공격력),(Master!$A$2:$A$57=$B228)*Master!$H$2:$H$57,(Master!$A$2:$A$57=$B228)*Master!$D$2:$D$57,(Master!$A$2:$A$57=$B228)*OFFSET(Master!$I$2:$I$57,0,D228-1),(Master!$A$2:$A$57=$B228)*OFFSET(Master!$L$2:$L$57,0,E228-1),(Master!$A$2:$A$57=$B228)*OFFSET(Master!$O$2:$O$57,0,F228-1))</f>
        <v>1958.8565445026177</v>
      </c>
      <c r="H228" s="7">
        <f t="shared" si="7"/>
        <v>1.101</v>
      </c>
      <c r="I228" s="79">
        <v>39</v>
      </c>
      <c r="J228" s="78">
        <v>479</v>
      </c>
      <c r="K228" t="str">
        <f>VLOOKUP($B228&amp;1&amp;D228,Sheet3!$A$2:$E$221,5,0)</f>
        <v>-</v>
      </c>
      <c r="L228" t="str">
        <f>VLOOKUP($B228&amp;2&amp;E228,Sheet3!$A$2:$E$221,5,0)</f>
        <v>-</v>
      </c>
      <c r="M228" t="str">
        <f>VLOOKUP($B228&amp;3&amp;F228,Sheet3!$A$2:$E$221,5,0)</f>
        <v>폭발회수 2회 증가</v>
      </c>
      <c r="N228">
        <v>4.0810000000000004</v>
      </c>
      <c r="O228">
        <v>5.1820000000000004</v>
      </c>
    </row>
    <row r="229" spans="1:15">
      <c r="A229" t="str">
        <f t="shared" si="6"/>
        <v>지뢰10231</v>
      </c>
      <c r="B229" s="16" t="s">
        <v>26</v>
      </c>
      <c r="C229" s="16">
        <v>10</v>
      </c>
      <c r="D229" s="16">
        <v>2</v>
      </c>
      <c r="E229" s="16">
        <v>3</v>
      </c>
      <c r="F229" s="16">
        <v>1</v>
      </c>
      <c r="G229" s="1">
        <f ca="1">SUMPRODUCT((Master!$A$2:$A$57=$B229)*(Master!$G$2:$G$57+공격력),(Master!$A$2:$A$57=$B229)*Master!$H$2:$H$57,(Master!$A$2:$A$57=$B229)*Master!$D$2:$D$57,(Master!$A$2:$A$57=$B229)*OFFSET(Master!$I$2:$I$57,0,D229-1),(Master!$A$2:$A$57=$B229)*OFFSET(Master!$L$2:$L$57,0,E229-1),(Master!$A$2:$A$57=$B229)*OFFSET(Master!$O$2:$O$57,0,F229-1))</f>
        <v>1399.1832460732985</v>
      </c>
      <c r="H229" s="7">
        <f t="shared" si="7"/>
        <v>1.0659999999999954</v>
      </c>
      <c r="I229" s="79">
        <v>27</v>
      </c>
      <c r="J229" s="78">
        <v>495</v>
      </c>
      <c r="K229" t="str">
        <f>VLOOKUP($B229&amp;1&amp;D229,Sheet3!$A$2:$E$221,5,0)</f>
        <v>-</v>
      </c>
      <c r="L229" t="str">
        <f>VLOOKUP($B229&amp;2&amp;E229,Sheet3!$A$2:$E$221,5,0)</f>
        <v>발동이 빠라진다(라고 적혀있지만 거의 차이없다)</v>
      </c>
      <c r="M229" t="str">
        <f>VLOOKUP($B229&amp;3&amp;F229,Sheet3!$A$2:$E$221,5,0)</f>
        <v>폭발회수 3회 감소</v>
      </c>
      <c r="N229">
        <v>33.615000000000002</v>
      </c>
      <c r="O229">
        <v>34.680999999999997</v>
      </c>
    </row>
    <row r="230" spans="1:15">
      <c r="A230" t="str">
        <f t="shared" si="6"/>
        <v>지뢰10232</v>
      </c>
      <c r="B230" s="16" t="s">
        <v>26</v>
      </c>
      <c r="C230" s="16">
        <v>10</v>
      </c>
      <c r="D230" s="16">
        <v>2</v>
      </c>
      <c r="E230" s="16">
        <v>3</v>
      </c>
      <c r="F230" s="16">
        <v>2</v>
      </c>
      <c r="G230" s="1">
        <f ca="1">SUMPRODUCT((Master!$A$2:$A$57=$B230)*(Master!$G$2:$G$57+공격력),(Master!$A$2:$A$57=$B230)*Master!$H$2:$H$57,(Master!$A$2:$A$57=$B230)*Master!$D$2:$D$57,(Master!$A$2:$A$57=$B230)*OFFSET(Master!$I$2:$I$57,0,D230-1),(Master!$A$2:$A$57=$B230)*OFFSET(Master!$L$2:$L$57,0,E230-1),(Master!$A$2:$A$57=$B230)*OFFSET(Master!$O$2:$O$57,0,F230-1))</f>
        <v>1399.1832460732985</v>
      </c>
      <c r="H230" s="7">
        <f t="shared" si="7"/>
        <v>1.0659999999999954</v>
      </c>
      <c r="I230" s="79">
        <v>39</v>
      </c>
      <c r="J230" s="78">
        <v>479</v>
      </c>
      <c r="K230" t="str">
        <f>VLOOKUP($B230&amp;1&amp;D230,Sheet3!$A$2:$E$221,5,0)</f>
        <v>-</v>
      </c>
      <c r="L230" t="str">
        <f>VLOOKUP($B230&amp;2&amp;E230,Sheet3!$A$2:$E$221,5,0)</f>
        <v>발동이 빠라진다(라고 적혀있지만 거의 차이없다)</v>
      </c>
      <c r="M230" t="str">
        <f>VLOOKUP($B230&amp;3&amp;F230,Sheet3!$A$2:$E$221,5,0)</f>
        <v>폭발회수 2회 증가</v>
      </c>
      <c r="N230">
        <v>33.615000000000002</v>
      </c>
      <c r="O230">
        <v>34.680999999999997</v>
      </c>
    </row>
    <row r="231" spans="1:15">
      <c r="A231" t="str">
        <f t="shared" si="6"/>
        <v>지뢰10311</v>
      </c>
      <c r="B231" s="16" t="s">
        <v>26</v>
      </c>
      <c r="C231" s="16">
        <v>10</v>
      </c>
      <c r="D231" s="16">
        <v>3</v>
      </c>
      <c r="E231" s="16">
        <v>1</v>
      </c>
      <c r="F231" s="16">
        <v>1</v>
      </c>
      <c r="G231" s="1">
        <f ca="1">SUMPRODUCT((Master!$A$2:$A$57=$B231)*(Master!$G$2:$G$57+공격력),(Master!$A$2:$A$57=$B231)*Master!$H$2:$H$57,(Master!$A$2:$A$57=$B231)*Master!$D$2:$D$57,(Master!$A$2:$A$57=$B231)*OFFSET(Master!$I$2:$I$57,0,D231-1),(Master!$A$2:$A$57=$B231)*OFFSET(Master!$L$2:$L$57,0,E231-1),(Master!$A$2:$A$57=$B231)*OFFSET(Master!$O$2:$O$57,0,F231-1))</f>
        <v>1399.1832460732985</v>
      </c>
      <c r="H231" s="7">
        <f t="shared" si="7"/>
        <v>1.101</v>
      </c>
      <c r="I231" s="79">
        <v>32</v>
      </c>
      <c r="J231" s="78">
        <v>487</v>
      </c>
      <c r="K231" t="str">
        <f>VLOOKUP($B231&amp;1&amp;D231,Sheet3!$A$2:$E$221,5,0)</f>
        <v>폭발회수 1회 증가, 지속시간1초 증가</v>
      </c>
      <c r="L231" t="str">
        <f>VLOOKUP($B231&amp;2&amp;E231,Sheet3!$A$2:$E$221,5,0)</f>
        <v>-</v>
      </c>
      <c r="M231" t="str">
        <f>VLOOKUP($B231&amp;3&amp;F231,Sheet3!$A$2:$E$221,5,0)</f>
        <v>폭발회수 3회 감소</v>
      </c>
      <c r="N231">
        <v>4.0810000000000004</v>
      </c>
      <c r="O231">
        <v>5.1820000000000004</v>
      </c>
    </row>
    <row r="232" spans="1:15">
      <c r="A232" t="str">
        <f t="shared" si="6"/>
        <v>지뢰10312</v>
      </c>
      <c r="B232" s="16" t="s">
        <v>26</v>
      </c>
      <c r="C232" s="16">
        <v>10</v>
      </c>
      <c r="D232" s="16">
        <v>3</v>
      </c>
      <c r="E232" s="16">
        <v>1</v>
      </c>
      <c r="F232" s="16">
        <v>2</v>
      </c>
      <c r="G232" s="1">
        <f ca="1">SUMPRODUCT((Master!$A$2:$A$57=$B232)*(Master!$G$2:$G$57+공격력),(Master!$A$2:$A$57=$B232)*Master!$H$2:$H$57,(Master!$A$2:$A$57=$B232)*Master!$D$2:$D$57,(Master!$A$2:$A$57=$B232)*OFFSET(Master!$I$2:$I$57,0,D232-1),(Master!$A$2:$A$57=$B232)*OFFSET(Master!$L$2:$L$57,0,E232-1),(Master!$A$2:$A$57=$B232)*OFFSET(Master!$O$2:$O$57,0,F232-1))</f>
        <v>1399.1832460732985</v>
      </c>
      <c r="H232" s="7">
        <f t="shared" si="7"/>
        <v>1.101</v>
      </c>
      <c r="I232" s="79">
        <v>44</v>
      </c>
      <c r="J232" s="78">
        <v>472</v>
      </c>
      <c r="K232" t="str">
        <f>VLOOKUP($B232&amp;1&amp;D232,Sheet3!$A$2:$E$221,5,0)</f>
        <v>폭발회수 1회 증가, 지속시간1초 증가</v>
      </c>
      <c r="L232" t="str">
        <f>VLOOKUP($B232&amp;2&amp;E232,Sheet3!$A$2:$E$221,5,0)</f>
        <v>-</v>
      </c>
      <c r="M232" t="str">
        <f>VLOOKUP($B232&amp;3&amp;F232,Sheet3!$A$2:$E$221,5,0)</f>
        <v>폭발회수 2회 증가</v>
      </c>
      <c r="N232">
        <v>4.0810000000000004</v>
      </c>
      <c r="O232">
        <v>5.1820000000000004</v>
      </c>
    </row>
    <row r="233" spans="1:15">
      <c r="A233" t="str">
        <f t="shared" si="6"/>
        <v>지뢰10321</v>
      </c>
      <c r="B233" s="16" t="s">
        <v>26</v>
      </c>
      <c r="C233" s="16">
        <v>10</v>
      </c>
      <c r="D233" s="16">
        <v>3</v>
      </c>
      <c r="E233" s="16">
        <v>2</v>
      </c>
      <c r="F233" s="16">
        <v>1</v>
      </c>
      <c r="G233" s="1">
        <f ca="1">SUMPRODUCT((Master!$A$2:$A$57=$B233)*(Master!$G$2:$G$57+공격력),(Master!$A$2:$A$57=$B233)*Master!$H$2:$H$57,(Master!$A$2:$A$57=$B233)*Master!$D$2:$D$57,(Master!$A$2:$A$57=$B233)*OFFSET(Master!$I$2:$I$57,0,D233-1),(Master!$A$2:$A$57=$B233)*OFFSET(Master!$L$2:$L$57,0,E233-1),(Master!$A$2:$A$57=$B233)*OFFSET(Master!$O$2:$O$57,0,F233-1))</f>
        <v>1958.8565445026177</v>
      </c>
      <c r="H233" s="7">
        <f t="shared" si="7"/>
        <v>1.101</v>
      </c>
      <c r="I233" s="79">
        <v>32</v>
      </c>
      <c r="J233" s="78">
        <v>487</v>
      </c>
      <c r="K233" t="str">
        <f>VLOOKUP($B233&amp;1&amp;D233,Sheet3!$A$2:$E$221,5,0)</f>
        <v>폭발회수 1회 증가, 지속시간1초 증가</v>
      </c>
      <c r="L233" t="str">
        <f>VLOOKUP($B233&amp;2&amp;E233,Sheet3!$A$2:$E$221,5,0)</f>
        <v>-</v>
      </c>
      <c r="M233" t="str">
        <f>VLOOKUP($B233&amp;3&amp;F233,Sheet3!$A$2:$E$221,5,0)</f>
        <v>폭발회수 3회 감소</v>
      </c>
      <c r="N233">
        <v>4.0810000000000004</v>
      </c>
      <c r="O233">
        <v>5.1820000000000004</v>
      </c>
    </row>
    <row r="234" spans="1:15">
      <c r="A234" t="str">
        <f t="shared" si="6"/>
        <v>지뢰10322</v>
      </c>
      <c r="B234" s="16" t="s">
        <v>26</v>
      </c>
      <c r="C234" s="16">
        <v>10</v>
      </c>
      <c r="D234" s="16">
        <v>3</v>
      </c>
      <c r="E234" s="16">
        <v>2</v>
      </c>
      <c r="F234" s="16">
        <v>2</v>
      </c>
      <c r="G234" s="1">
        <f ca="1">SUMPRODUCT((Master!$A$2:$A$57=$B234)*(Master!$G$2:$G$57+공격력),(Master!$A$2:$A$57=$B234)*Master!$H$2:$H$57,(Master!$A$2:$A$57=$B234)*Master!$D$2:$D$57,(Master!$A$2:$A$57=$B234)*OFFSET(Master!$I$2:$I$57,0,D234-1),(Master!$A$2:$A$57=$B234)*OFFSET(Master!$L$2:$L$57,0,E234-1),(Master!$A$2:$A$57=$B234)*OFFSET(Master!$O$2:$O$57,0,F234-1))</f>
        <v>1958.8565445026177</v>
      </c>
      <c r="H234" s="7">
        <f t="shared" si="7"/>
        <v>1.101</v>
      </c>
      <c r="I234" s="79">
        <v>44</v>
      </c>
      <c r="J234" s="78">
        <v>472</v>
      </c>
      <c r="K234" t="str">
        <f>VLOOKUP($B234&amp;1&amp;D234,Sheet3!$A$2:$E$221,5,0)</f>
        <v>폭발회수 1회 증가, 지속시간1초 증가</v>
      </c>
      <c r="L234" t="str">
        <f>VLOOKUP($B234&amp;2&amp;E234,Sheet3!$A$2:$E$221,5,0)</f>
        <v>-</v>
      </c>
      <c r="M234" t="str">
        <f>VLOOKUP($B234&amp;3&amp;F234,Sheet3!$A$2:$E$221,5,0)</f>
        <v>폭발회수 2회 증가</v>
      </c>
      <c r="N234">
        <v>4.0810000000000004</v>
      </c>
      <c r="O234">
        <v>5.1820000000000004</v>
      </c>
    </row>
    <row r="235" spans="1:15">
      <c r="A235" t="str">
        <f t="shared" si="6"/>
        <v>지뢰10331</v>
      </c>
      <c r="B235" s="16" t="s">
        <v>26</v>
      </c>
      <c r="C235" s="16">
        <v>10</v>
      </c>
      <c r="D235" s="16">
        <v>3</v>
      </c>
      <c r="E235" s="16">
        <v>3</v>
      </c>
      <c r="F235" s="16">
        <v>1</v>
      </c>
      <c r="G235" s="1">
        <f ca="1">SUMPRODUCT((Master!$A$2:$A$57=$B235)*(Master!$G$2:$G$57+공격력),(Master!$A$2:$A$57=$B235)*Master!$H$2:$H$57,(Master!$A$2:$A$57=$B235)*Master!$D$2:$D$57,(Master!$A$2:$A$57=$B235)*OFFSET(Master!$I$2:$I$57,0,D235-1),(Master!$A$2:$A$57=$B235)*OFFSET(Master!$L$2:$L$57,0,E235-1),(Master!$A$2:$A$57=$B235)*OFFSET(Master!$O$2:$O$57,0,F235-1))</f>
        <v>1399.1832460732985</v>
      </c>
      <c r="H235" s="7">
        <f t="shared" si="7"/>
        <v>1.0659999999999954</v>
      </c>
      <c r="I235" s="79">
        <v>32</v>
      </c>
      <c r="J235" s="78">
        <v>487</v>
      </c>
      <c r="K235" t="str">
        <f>VLOOKUP($B235&amp;1&amp;D235,Sheet3!$A$2:$E$221,5,0)</f>
        <v>폭발회수 1회 증가, 지속시간1초 증가</v>
      </c>
      <c r="L235" t="str">
        <f>VLOOKUP($B235&amp;2&amp;E235,Sheet3!$A$2:$E$221,5,0)</f>
        <v>발동이 빠라진다(라고 적혀있지만 거의 차이없다)</v>
      </c>
      <c r="M235" t="str">
        <f>VLOOKUP($B235&amp;3&amp;F235,Sheet3!$A$2:$E$221,5,0)</f>
        <v>폭발회수 3회 감소</v>
      </c>
      <c r="N235">
        <v>33.615000000000002</v>
      </c>
      <c r="O235">
        <v>34.680999999999997</v>
      </c>
    </row>
    <row r="236" spans="1:15">
      <c r="A236" t="str">
        <f t="shared" si="6"/>
        <v>지뢰10332</v>
      </c>
      <c r="B236" s="16" t="s">
        <v>26</v>
      </c>
      <c r="C236" s="16">
        <v>10</v>
      </c>
      <c r="D236" s="16">
        <v>3</v>
      </c>
      <c r="E236" s="16">
        <v>3</v>
      </c>
      <c r="F236" s="16">
        <v>2</v>
      </c>
      <c r="G236" s="1">
        <f ca="1">SUMPRODUCT((Master!$A$2:$A$57=$B236)*(Master!$G$2:$G$57+공격력),(Master!$A$2:$A$57=$B236)*Master!$H$2:$H$57,(Master!$A$2:$A$57=$B236)*Master!$D$2:$D$57,(Master!$A$2:$A$57=$B236)*OFFSET(Master!$I$2:$I$57,0,D236-1),(Master!$A$2:$A$57=$B236)*OFFSET(Master!$L$2:$L$57,0,E236-1),(Master!$A$2:$A$57=$B236)*OFFSET(Master!$O$2:$O$57,0,F236-1))</f>
        <v>1399.1832460732985</v>
      </c>
      <c r="H236" s="7">
        <f t="shared" si="7"/>
        <v>1.0659999999999954</v>
      </c>
      <c r="I236" s="79">
        <v>44</v>
      </c>
      <c r="J236" s="78">
        <v>472</v>
      </c>
      <c r="K236" t="str">
        <f>VLOOKUP($B236&amp;1&amp;D236,Sheet3!$A$2:$E$221,5,0)</f>
        <v>폭발회수 1회 증가, 지속시간1초 증가</v>
      </c>
      <c r="L236" t="str">
        <f>VLOOKUP($B236&amp;2&amp;E236,Sheet3!$A$2:$E$221,5,0)</f>
        <v>발동이 빠라진다(라고 적혀있지만 거의 차이없다)</v>
      </c>
      <c r="M236" t="str">
        <f>VLOOKUP($B236&amp;3&amp;F236,Sheet3!$A$2:$E$221,5,0)</f>
        <v>폭발회수 2회 증가</v>
      </c>
      <c r="N236">
        <v>33.615000000000002</v>
      </c>
      <c r="O236">
        <v>34.680999999999997</v>
      </c>
    </row>
    <row r="237" spans="1:15" s="10" customFormat="1">
      <c r="A237" s="10" t="str">
        <f t="shared" si="6"/>
        <v>초풍10111</v>
      </c>
      <c r="B237" s="11" t="s">
        <v>27</v>
      </c>
      <c r="C237" s="11">
        <v>10</v>
      </c>
      <c r="D237" s="11">
        <v>1</v>
      </c>
      <c r="E237" s="11">
        <v>1</v>
      </c>
      <c r="F237" s="11">
        <v>1</v>
      </c>
      <c r="G237" s="76">
        <f ca="1">SUMPRODUCT((Master!$A$2:$A$57=$B237)*(Master!$G$2:$G$57+공격력),(Master!$A$2:$A$57=$B237)*Master!$H$2:$H$57,(Master!$A$2:$A$57=$B237)*Master!$D$2:$D$57,(Master!$A$2:$A$57=$B237)*OFFSET(Master!$I$2:$I$57,0,D237-1),(Master!$A$2:$A$57=$B237)*OFFSET(Master!$L$2:$L$57,0,E237-1),(Master!$A$2:$A$57=$B237)*OFFSET(Master!$O$2:$O$57,0,F237-1))</f>
        <v>10487.714285714286</v>
      </c>
      <c r="H237" s="7">
        <f t="shared" si="7"/>
        <v>1.8170000000000002</v>
      </c>
      <c r="I237" s="80">
        <v>40</v>
      </c>
      <c r="J237" s="77">
        <v>464</v>
      </c>
      <c r="K237" s="10" t="str">
        <f>VLOOKUP($B237&amp;1&amp;D237,Sheet3!$A$2:$E$221,5,0)</f>
        <v>뇌속성, 치명타 적중룔 15%증가</v>
      </c>
      <c r="L237" s="10" t="str">
        <f>VLOOKUP($B237&amp;2&amp;E237,Sheet3!$A$2:$E$221,5,0)</f>
        <v>공격범위 20% 증가</v>
      </c>
      <c r="M237" s="10" t="str">
        <f>VLOOKUP($B237&amp;3&amp;F237,Sheet3!$A$2:$E$221,5,0)</f>
        <v>공격형태 변경</v>
      </c>
      <c r="N237" s="10">
        <v>3.6150000000000002</v>
      </c>
      <c r="O237" s="10">
        <v>5.4320000000000004</v>
      </c>
    </row>
    <row r="238" spans="1:15" s="10" customFormat="1">
      <c r="A238" s="10" t="str">
        <f t="shared" si="6"/>
        <v>초풍10112</v>
      </c>
      <c r="B238" s="11" t="s">
        <v>27</v>
      </c>
      <c r="C238" s="11">
        <v>10</v>
      </c>
      <c r="D238" s="11">
        <v>1</v>
      </c>
      <c r="E238" s="11">
        <v>1</v>
      </c>
      <c r="F238" s="11">
        <v>2</v>
      </c>
      <c r="G238" s="76">
        <f ca="1">SUMPRODUCT((Master!$A$2:$A$57=$B238)*(Master!$G$2:$G$57+공격력),(Master!$A$2:$A$57=$B238)*Master!$H$2:$H$57,(Master!$A$2:$A$57=$B238)*Master!$D$2:$D$57,(Master!$A$2:$A$57=$B238)*OFFSET(Master!$I$2:$I$57,0,D238-1),(Master!$A$2:$A$57=$B238)*OFFSET(Master!$L$2:$L$57,0,E238-1),(Master!$A$2:$A$57=$B238)*OFFSET(Master!$O$2:$O$57,0,F238-1))</f>
        <v>14521.45054945055</v>
      </c>
      <c r="H238" s="7">
        <f t="shared" si="7"/>
        <v>3.3170000000000002</v>
      </c>
      <c r="I238" s="80">
        <v>45</v>
      </c>
      <c r="J238" s="77">
        <v>461</v>
      </c>
      <c r="K238" s="10" t="str">
        <f>VLOOKUP($B238&amp;1&amp;D238,Sheet3!$A$2:$E$221,5,0)</f>
        <v>뇌속성, 치명타 적중룔 15%증가</v>
      </c>
      <c r="L238" s="10" t="str">
        <f>VLOOKUP($B238&amp;2&amp;E238,Sheet3!$A$2:$E$221,5,0)</f>
        <v>공격범위 20% 증가</v>
      </c>
      <c r="M238" s="10" t="str">
        <f>VLOOKUP($B238&amp;3&amp;F238,Sheet3!$A$2:$E$221,5,0)</f>
        <v>지속시간 1초(4타) 증가, 이동성 개선</v>
      </c>
      <c r="N238">
        <v>5.6310000000000002</v>
      </c>
      <c r="O238" s="10">
        <v>8.9480000000000004</v>
      </c>
    </row>
    <row r="239" spans="1:15" s="10" customFormat="1">
      <c r="A239" s="10" t="str">
        <f t="shared" si="6"/>
        <v>초풍10121</v>
      </c>
      <c r="B239" s="11" t="s">
        <v>27</v>
      </c>
      <c r="C239" s="11">
        <v>10</v>
      </c>
      <c r="D239" s="11">
        <v>1</v>
      </c>
      <c r="E239" s="11">
        <v>2</v>
      </c>
      <c r="F239" s="11">
        <v>1</v>
      </c>
      <c r="G239" s="76">
        <f ca="1">SUMPRODUCT((Master!$A$2:$A$57=$B239)*(Master!$G$2:$G$57+공격력),(Master!$A$2:$A$57=$B239)*Master!$H$2:$H$57,(Master!$A$2:$A$57=$B239)*Master!$D$2:$D$57,(Master!$A$2:$A$57=$B239)*OFFSET(Master!$I$2:$I$57,0,D239-1),(Master!$A$2:$A$57=$B239)*OFFSET(Master!$L$2:$L$57,0,E239-1),(Master!$A$2:$A$57=$B239)*OFFSET(Master!$O$2:$O$57,0,F239-1))</f>
        <v>10487.714285714286</v>
      </c>
      <c r="H239" s="7">
        <f t="shared" si="7"/>
        <v>1.8170000000000002</v>
      </c>
      <c r="I239" s="80">
        <v>40</v>
      </c>
      <c r="J239" s="77">
        <v>464</v>
      </c>
      <c r="K239" s="10" t="str">
        <f>VLOOKUP($B239&amp;1&amp;D239,Sheet3!$A$2:$E$221,5,0)</f>
        <v>뇌속성, 치명타 적중룔 15%증가</v>
      </c>
      <c r="L239" s="10" t="str">
        <f>VLOOKUP($B239&amp;2&amp;E239,Sheet3!$A$2:$E$221,5,0)</f>
        <v>쿨 5초감소</v>
      </c>
      <c r="M239" s="10" t="str">
        <f>VLOOKUP($B239&amp;3&amp;F239,Sheet3!$A$2:$E$221,5,0)</f>
        <v>공격형태 변경</v>
      </c>
      <c r="N239" s="10">
        <v>3.6150000000000002</v>
      </c>
      <c r="O239" s="10">
        <v>5.4320000000000004</v>
      </c>
    </row>
    <row r="240" spans="1:15" s="10" customFormat="1">
      <c r="A240" s="10" t="str">
        <f t="shared" si="6"/>
        <v>초풍10122</v>
      </c>
      <c r="B240" s="11" t="s">
        <v>27</v>
      </c>
      <c r="C240" s="11">
        <v>10</v>
      </c>
      <c r="D240" s="11">
        <v>1</v>
      </c>
      <c r="E240" s="11">
        <v>2</v>
      </c>
      <c r="F240" s="11">
        <v>2</v>
      </c>
      <c r="G240" s="76">
        <f ca="1">SUMPRODUCT((Master!$A$2:$A$57=$B240)*(Master!$G$2:$G$57+공격력),(Master!$A$2:$A$57=$B240)*Master!$H$2:$H$57,(Master!$A$2:$A$57=$B240)*Master!$D$2:$D$57,(Master!$A$2:$A$57=$B240)*OFFSET(Master!$I$2:$I$57,0,D240-1),(Master!$A$2:$A$57=$B240)*OFFSET(Master!$L$2:$L$57,0,E240-1),(Master!$A$2:$A$57=$B240)*OFFSET(Master!$O$2:$O$57,0,F240-1))</f>
        <v>14521.45054945055</v>
      </c>
      <c r="H240" s="7">
        <f t="shared" si="7"/>
        <v>3.3170000000000002</v>
      </c>
      <c r="I240" s="80">
        <v>45</v>
      </c>
      <c r="J240" s="77">
        <v>461</v>
      </c>
      <c r="K240" s="10" t="str">
        <f>VLOOKUP($B240&amp;1&amp;D240,Sheet3!$A$2:$E$221,5,0)</f>
        <v>뇌속성, 치명타 적중룔 15%증가</v>
      </c>
      <c r="L240" s="10" t="str">
        <f>VLOOKUP($B240&amp;2&amp;E240,Sheet3!$A$2:$E$221,5,0)</f>
        <v>쿨 5초감소</v>
      </c>
      <c r="M240" s="10" t="str">
        <f>VLOOKUP($B240&amp;3&amp;F240,Sheet3!$A$2:$E$221,5,0)</f>
        <v>지속시간 1초(4타) 증가, 이동성 개선</v>
      </c>
      <c r="N240">
        <v>5.6310000000000002</v>
      </c>
      <c r="O240" s="10">
        <v>8.9480000000000004</v>
      </c>
    </row>
    <row r="241" spans="1:15" s="10" customFormat="1">
      <c r="A241" s="10" t="str">
        <f t="shared" si="6"/>
        <v>초풍10131</v>
      </c>
      <c r="B241" s="11" t="s">
        <v>27</v>
      </c>
      <c r="C241" s="11">
        <v>10</v>
      </c>
      <c r="D241" s="11">
        <v>1</v>
      </c>
      <c r="E241" s="11">
        <v>3</v>
      </c>
      <c r="F241" s="11">
        <v>1</v>
      </c>
      <c r="G241" s="76">
        <f ca="1">SUMPRODUCT((Master!$A$2:$A$57=$B241)*(Master!$G$2:$G$57+공격력),(Master!$A$2:$A$57=$B241)*Master!$H$2:$H$57,(Master!$A$2:$A$57=$B241)*Master!$D$2:$D$57,(Master!$A$2:$A$57=$B241)*OFFSET(Master!$I$2:$I$57,0,D241-1),(Master!$A$2:$A$57=$B241)*OFFSET(Master!$L$2:$L$57,0,E241-1),(Master!$A$2:$A$57=$B241)*OFFSET(Master!$O$2:$O$57,0,F241-1))</f>
        <v>10487.714285714286</v>
      </c>
      <c r="H241" s="7">
        <f t="shared" si="7"/>
        <v>1.516</v>
      </c>
      <c r="I241" s="80">
        <v>40</v>
      </c>
      <c r="J241" s="77">
        <v>464</v>
      </c>
      <c r="K241" s="10" t="str">
        <f>VLOOKUP($B241&amp;1&amp;D241,Sheet3!$A$2:$E$221,5,0)</f>
        <v>뇌속성, 치명타 적중룔 15%증가</v>
      </c>
      <c r="L241" s="10" t="str">
        <f>VLOOKUP($B241&amp;2&amp;E241,Sheet3!$A$2:$E$221,5,0)</f>
        <v>공속 20%증가</v>
      </c>
      <c r="M241" s="10" t="str">
        <f>VLOOKUP($B241&amp;3&amp;F241,Sheet3!$A$2:$E$221,5,0)</f>
        <v>공격형태 변경</v>
      </c>
      <c r="N241" s="10">
        <v>2.516</v>
      </c>
      <c r="O241" s="10">
        <v>4.032</v>
      </c>
    </row>
    <row r="242" spans="1:15" s="10" customFormat="1">
      <c r="A242" s="10" t="str">
        <f t="shared" si="6"/>
        <v>초풍10132</v>
      </c>
      <c r="B242" s="11" t="s">
        <v>27</v>
      </c>
      <c r="C242" s="11">
        <v>10</v>
      </c>
      <c r="D242" s="11">
        <v>1</v>
      </c>
      <c r="E242" s="11">
        <v>3</v>
      </c>
      <c r="F242" s="11">
        <v>2</v>
      </c>
      <c r="G242" s="76">
        <f ca="1">SUMPRODUCT((Master!$A$2:$A$57=$B242)*(Master!$G$2:$G$57+공격력),(Master!$A$2:$A$57=$B242)*Master!$H$2:$H$57,(Master!$A$2:$A$57=$B242)*Master!$D$2:$D$57,(Master!$A$2:$A$57=$B242)*OFFSET(Master!$I$2:$I$57,0,D242-1),(Master!$A$2:$A$57=$B242)*OFFSET(Master!$L$2:$L$57,0,E242-1),(Master!$A$2:$A$57=$B242)*OFFSET(Master!$O$2:$O$57,0,F242-1))</f>
        <v>14521.45054945055</v>
      </c>
      <c r="H242" s="7">
        <f t="shared" si="7"/>
        <v>2.7490000000000006</v>
      </c>
      <c r="I242" s="80">
        <v>45</v>
      </c>
      <c r="J242" s="77">
        <v>461</v>
      </c>
      <c r="K242" s="10" t="str">
        <f>VLOOKUP($B242&amp;1&amp;D242,Sheet3!$A$2:$E$221,5,0)</f>
        <v>뇌속성, 치명타 적중룔 15%증가</v>
      </c>
      <c r="L242" s="10" t="str">
        <f>VLOOKUP($B242&amp;2&amp;E242,Sheet3!$A$2:$E$221,5,0)</f>
        <v>공속 20%증가</v>
      </c>
      <c r="M242" s="10" t="str">
        <f>VLOOKUP($B242&amp;3&amp;F242,Sheet3!$A$2:$E$221,5,0)</f>
        <v>지속시간 1초(4타) 증가, 이동성 개선</v>
      </c>
      <c r="N242" s="10">
        <v>6.1989999999999998</v>
      </c>
      <c r="O242" s="10">
        <v>8.9480000000000004</v>
      </c>
    </row>
    <row r="243" spans="1:15" s="10" customFormat="1">
      <c r="A243" s="10" t="str">
        <f t="shared" si="6"/>
        <v>초풍10211</v>
      </c>
      <c r="B243" s="11" t="s">
        <v>27</v>
      </c>
      <c r="C243" s="11">
        <v>10</v>
      </c>
      <c r="D243" s="11">
        <v>2</v>
      </c>
      <c r="E243" s="11">
        <v>1</v>
      </c>
      <c r="F243" s="11">
        <v>1</v>
      </c>
      <c r="G243" s="76">
        <f ca="1">SUMPRODUCT((Master!$A$2:$A$57=$B243)*(Master!$G$2:$G$57+공격력),(Master!$A$2:$A$57=$B243)*Master!$H$2:$H$57,(Master!$A$2:$A$57=$B243)*Master!$D$2:$D$57,(Master!$A$2:$A$57=$B243)*OFFSET(Master!$I$2:$I$57,0,D243-1),(Master!$A$2:$A$57=$B243)*OFFSET(Master!$L$2:$L$57,0,E243-1),(Master!$A$2:$A$57=$B243)*OFFSET(Master!$O$2:$O$57,0,F243-1))</f>
        <v>10487.714285714286</v>
      </c>
      <c r="H243" s="7">
        <f t="shared" si="7"/>
        <v>1.8170000000000002</v>
      </c>
      <c r="I243" s="80">
        <v>40</v>
      </c>
      <c r="J243" s="77">
        <v>464</v>
      </c>
      <c r="K243" s="10" t="str">
        <f>VLOOKUP($B243&amp;1&amp;D243,Sheet3!$A$2:$E$221,5,0)</f>
        <v>수속성, 적 공이속 20%감소 3초</v>
      </c>
      <c r="L243" s="10" t="str">
        <f>VLOOKUP($B243&amp;2&amp;E243,Sheet3!$A$2:$E$221,5,0)</f>
        <v>공격범위 20% 증가</v>
      </c>
      <c r="M243" s="10" t="str">
        <f>VLOOKUP($B243&amp;3&amp;F243,Sheet3!$A$2:$E$221,5,0)</f>
        <v>공격형태 변경</v>
      </c>
      <c r="N243" s="10">
        <v>3.6150000000000002</v>
      </c>
      <c r="O243" s="10">
        <v>5.4320000000000004</v>
      </c>
    </row>
    <row r="244" spans="1:15" s="10" customFormat="1">
      <c r="A244" s="10" t="str">
        <f t="shared" si="6"/>
        <v>초풍10212</v>
      </c>
      <c r="B244" s="11" t="s">
        <v>27</v>
      </c>
      <c r="C244" s="11">
        <v>10</v>
      </c>
      <c r="D244" s="11">
        <v>2</v>
      </c>
      <c r="E244" s="11">
        <v>1</v>
      </c>
      <c r="F244" s="11">
        <v>2</v>
      </c>
      <c r="G244" s="76">
        <f ca="1">SUMPRODUCT((Master!$A$2:$A$57=$B244)*(Master!$G$2:$G$57+공격력),(Master!$A$2:$A$57=$B244)*Master!$H$2:$H$57,(Master!$A$2:$A$57=$B244)*Master!$D$2:$D$57,(Master!$A$2:$A$57=$B244)*OFFSET(Master!$I$2:$I$57,0,D244-1),(Master!$A$2:$A$57=$B244)*OFFSET(Master!$L$2:$L$57,0,E244-1),(Master!$A$2:$A$57=$B244)*OFFSET(Master!$O$2:$O$57,0,F244-1))</f>
        <v>14521.45054945055</v>
      </c>
      <c r="H244" s="7">
        <f t="shared" si="7"/>
        <v>3.3170000000000002</v>
      </c>
      <c r="I244" s="80">
        <v>45</v>
      </c>
      <c r="J244" s="77">
        <v>461</v>
      </c>
      <c r="K244" s="10" t="str">
        <f>VLOOKUP($B244&amp;1&amp;D244,Sheet3!$A$2:$E$221,5,0)</f>
        <v>수속성, 적 공이속 20%감소 3초</v>
      </c>
      <c r="L244" s="10" t="str">
        <f>VLOOKUP($B244&amp;2&amp;E244,Sheet3!$A$2:$E$221,5,0)</f>
        <v>공격범위 20% 증가</v>
      </c>
      <c r="M244" s="10" t="str">
        <f>VLOOKUP($B244&amp;3&amp;F244,Sheet3!$A$2:$E$221,5,0)</f>
        <v>지속시간 1초(4타) 증가, 이동성 개선</v>
      </c>
      <c r="N244">
        <v>5.6310000000000002</v>
      </c>
      <c r="O244" s="10">
        <v>8.9480000000000004</v>
      </c>
    </row>
    <row r="245" spans="1:15" s="10" customFormat="1">
      <c r="A245" s="10" t="str">
        <f t="shared" si="6"/>
        <v>초풍10221</v>
      </c>
      <c r="B245" s="11" t="s">
        <v>27</v>
      </c>
      <c r="C245" s="11">
        <v>10</v>
      </c>
      <c r="D245" s="11">
        <v>2</v>
      </c>
      <c r="E245" s="11">
        <v>2</v>
      </c>
      <c r="F245" s="11">
        <v>1</v>
      </c>
      <c r="G245" s="76">
        <f ca="1">SUMPRODUCT((Master!$A$2:$A$57=$B245)*(Master!$G$2:$G$57+공격력),(Master!$A$2:$A$57=$B245)*Master!$H$2:$H$57,(Master!$A$2:$A$57=$B245)*Master!$D$2:$D$57,(Master!$A$2:$A$57=$B245)*OFFSET(Master!$I$2:$I$57,0,D245-1),(Master!$A$2:$A$57=$B245)*OFFSET(Master!$L$2:$L$57,0,E245-1),(Master!$A$2:$A$57=$B245)*OFFSET(Master!$O$2:$O$57,0,F245-1))</f>
        <v>10487.714285714286</v>
      </c>
      <c r="H245" s="7">
        <f t="shared" si="7"/>
        <v>1.8170000000000002</v>
      </c>
      <c r="I245" s="80">
        <v>40</v>
      </c>
      <c r="J245" s="77">
        <v>464</v>
      </c>
      <c r="K245" s="10" t="str">
        <f>VLOOKUP($B245&amp;1&amp;D245,Sheet3!$A$2:$E$221,5,0)</f>
        <v>수속성, 적 공이속 20%감소 3초</v>
      </c>
      <c r="L245" s="10" t="str">
        <f>VLOOKUP($B245&amp;2&amp;E245,Sheet3!$A$2:$E$221,5,0)</f>
        <v>쿨 5초감소</v>
      </c>
      <c r="M245" s="10" t="str">
        <f>VLOOKUP($B245&amp;3&amp;F245,Sheet3!$A$2:$E$221,5,0)</f>
        <v>공격형태 변경</v>
      </c>
      <c r="N245" s="10">
        <v>3.6150000000000002</v>
      </c>
      <c r="O245" s="10">
        <v>5.4320000000000004</v>
      </c>
    </row>
    <row r="246" spans="1:15" s="10" customFormat="1">
      <c r="A246" s="10" t="str">
        <f t="shared" si="6"/>
        <v>초풍10222</v>
      </c>
      <c r="B246" s="11" t="s">
        <v>27</v>
      </c>
      <c r="C246" s="11">
        <v>10</v>
      </c>
      <c r="D246" s="11">
        <v>2</v>
      </c>
      <c r="E246" s="11">
        <v>2</v>
      </c>
      <c r="F246" s="11">
        <v>2</v>
      </c>
      <c r="G246" s="76">
        <f ca="1">SUMPRODUCT((Master!$A$2:$A$57=$B246)*(Master!$G$2:$G$57+공격력),(Master!$A$2:$A$57=$B246)*Master!$H$2:$H$57,(Master!$A$2:$A$57=$B246)*Master!$D$2:$D$57,(Master!$A$2:$A$57=$B246)*OFFSET(Master!$I$2:$I$57,0,D246-1),(Master!$A$2:$A$57=$B246)*OFFSET(Master!$L$2:$L$57,0,E246-1),(Master!$A$2:$A$57=$B246)*OFFSET(Master!$O$2:$O$57,0,F246-1))</f>
        <v>14521.45054945055</v>
      </c>
      <c r="H246" s="7">
        <f t="shared" si="7"/>
        <v>3.3170000000000002</v>
      </c>
      <c r="I246" s="80">
        <v>45</v>
      </c>
      <c r="J246" s="77">
        <v>461</v>
      </c>
      <c r="K246" s="10" t="str">
        <f>VLOOKUP($B246&amp;1&amp;D246,Sheet3!$A$2:$E$221,5,0)</f>
        <v>수속성, 적 공이속 20%감소 3초</v>
      </c>
      <c r="L246" s="10" t="str">
        <f>VLOOKUP($B246&amp;2&amp;E246,Sheet3!$A$2:$E$221,5,0)</f>
        <v>쿨 5초감소</v>
      </c>
      <c r="M246" s="10" t="str">
        <f>VLOOKUP($B246&amp;3&amp;F246,Sheet3!$A$2:$E$221,5,0)</f>
        <v>지속시간 1초(4타) 증가, 이동성 개선</v>
      </c>
      <c r="N246">
        <v>5.6310000000000002</v>
      </c>
      <c r="O246" s="10">
        <v>8.9480000000000004</v>
      </c>
    </row>
    <row r="247" spans="1:15" s="10" customFormat="1">
      <c r="A247" s="10" t="str">
        <f t="shared" si="6"/>
        <v>초풍10231</v>
      </c>
      <c r="B247" s="11" t="s">
        <v>27</v>
      </c>
      <c r="C247" s="11">
        <v>10</v>
      </c>
      <c r="D247" s="11">
        <v>2</v>
      </c>
      <c r="E247" s="11">
        <v>3</v>
      </c>
      <c r="F247" s="11">
        <v>1</v>
      </c>
      <c r="G247" s="76">
        <f ca="1">SUMPRODUCT((Master!$A$2:$A$57=$B247)*(Master!$G$2:$G$57+공격력),(Master!$A$2:$A$57=$B247)*Master!$H$2:$H$57,(Master!$A$2:$A$57=$B247)*Master!$D$2:$D$57,(Master!$A$2:$A$57=$B247)*OFFSET(Master!$I$2:$I$57,0,D247-1),(Master!$A$2:$A$57=$B247)*OFFSET(Master!$L$2:$L$57,0,E247-1),(Master!$A$2:$A$57=$B247)*OFFSET(Master!$O$2:$O$57,0,F247-1))</f>
        <v>10487.714285714286</v>
      </c>
      <c r="H247" s="7">
        <f t="shared" si="7"/>
        <v>1.516</v>
      </c>
      <c r="I247" s="80">
        <v>40</v>
      </c>
      <c r="J247" s="77">
        <v>464</v>
      </c>
      <c r="K247" s="10" t="str">
        <f>VLOOKUP($B247&amp;1&amp;D247,Sheet3!$A$2:$E$221,5,0)</f>
        <v>수속성, 적 공이속 20%감소 3초</v>
      </c>
      <c r="L247" s="10" t="str">
        <f>VLOOKUP($B247&amp;2&amp;E247,Sheet3!$A$2:$E$221,5,0)</f>
        <v>공속 20%증가</v>
      </c>
      <c r="M247" s="10" t="str">
        <f>VLOOKUP($B247&amp;3&amp;F247,Sheet3!$A$2:$E$221,5,0)</f>
        <v>공격형태 변경</v>
      </c>
      <c r="N247" s="10">
        <v>2.516</v>
      </c>
      <c r="O247" s="10">
        <v>4.032</v>
      </c>
    </row>
    <row r="248" spans="1:15" s="10" customFormat="1">
      <c r="A248" s="10" t="str">
        <f t="shared" si="6"/>
        <v>초풍10232</v>
      </c>
      <c r="B248" s="11" t="s">
        <v>27</v>
      </c>
      <c r="C248" s="11">
        <v>10</v>
      </c>
      <c r="D248" s="11">
        <v>2</v>
      </c>
      <c r="E248" s="11">
        <v>3</v>
      </c>
      <c r="F248" s="11">
        <v>2</v>
      </c>
      <c r="G248" s="76">
        <f ca="1">SUMPRODUCT((Master!$A$2:$A$57=$B248)*(Master!$G$2:$G$57+공격력),(Master!$A$2:$A$57=$B248)*Master!$H$2:$H$57,(Master!$A$2:$A$57=$B248)*Master!$D$2:$D$57,(Master!$A$2:$A$57=$B248)*OFFSET(Master!$I$2:$I$57,0,D248-1),(Master!$A$2:$A$57=$B248)*OFFSET(Master!$L$2:$L$57,0,E248-1),(Master!$A$2:$A$57=$B248)*OFFSET(Master!$O$2:$O$57,0,F248-1))</f>
        <v>14521.45054945055</v>
      </c>
      <c r="H248" s="7">
        <f t="shared" si="7"/>
        <v>2.7490000000000006</v>
      </c>
      <c r="I248" s="80">
        <v>45</v>
      </c>
      <c r="J248" s="77">
        <v>461</v>
      </c>
      <c r="K248" s="10" t="str">
        <f>VLOOKUP($B248&amp;1&amp;D248,Sheet3!$A$2:$E$221,5,0)</f>
        <v>수속성, 적 공이속 20%감소 3초</v>
      </c>
      <c r="L248" s="10" t="str">
        <f>VLOOKUP($B248&amp;2&amp;E248,Sheet3!$A$2:$E$221,5,0)</f>
        <v>공속 20%증가</v>
      </c>
      <c r="M248" s="10" t="str">
        <f>VLOOKUP($B248&amp;3&amp;F248,Sheet3!$A$2:$E$221,5,0)</f>
        <v>지속시간 1초(4타) 증가, 이동성 개선</v>
      </c>
      <c r="N248" s="10">
        <v>6.1989999999999998</v>
      </c>
      <c r="O248" s="10">
        <v>8.9480000000000004</v>
      </c>
    </row>
    <row r="249" spans="1:15" s="10" customFormat="1">
      <c r="A249" s="10" t="str">
        <f t="shared" si="6"/>
        <v>초풍10311</v>
      </c>
      <c r="B249" s="11" t="s">
        <v>27</v>
      </c>
      <c r="C249" s="11">
        <v>10</v>
      </c>
      <c r="D249" s="11">
        <v>3</v>
      </c>
      <c r="E249" s="11">
        <v>1</v>
      </c>
      <c r="F249" s="11">
        <v>1</v>
      </c>
      <c r="G249" s="76">
        <f ca="1">SUMPRODUCT((Master!$A$2:$A$57=$B249)*(Master!$G$2:$G$57+공격력),(Master!$A$2:$A$57=$B249)*Master!$H$2:$H$57,(Master!$A$2:$A$57=$B249)*Master!$D$2:$D$57,(Master!$A$2:$A$57=$B249)*OFFSET(Master!$I$2:$I$57,0,D249-1),(Master!$A$2:$A$57=$B249)*OFFSET(Master!$L$2:$L$57,0,E249-1),(Master!$A$2:$A$57=$B249)*OFFSET(Master!$O$2:$O$57,0,F249-1))</f>
        <v>10487.714285714286</v>
      </c>
      <c r="H249" s="7">
        <f t="shared" si="7"/>
        <v>1.8170000000000002</v>
      </c>
      <c r="I249" s="80">
        <v>40</v>
      </c>
      <c r="J249" s="77">
        <v>464</v>
      </c>
      <c r="K249" s="10" t="str">
        <f>VLOOKUP($B249&amp;1&amp;D249,Sheet3!$A$2:$E$221,5,0)</f>
        <v>화속성, 적중시마다 화상(갱신O 중첩X) 5초(틱당 초풍1타의 52.5%추정)</v>
      </c>
      <c r="L249" s="10" t="str">
        <f>VLOOKUP($B249&amp;2&amp;E249,Sheet3!$A$2:$E$221,5,0)</f>
        <v>공격범위 20% 증가</v>
      </c>
      <c r="M249" s="10" t="str">
        <f>VLOOKUP($B249&amp;3&amp;F249,Sheet3!$A$2:$E$221,5,0)</f>
        <v>공격형태 변경</v>
      </c>
      <c r="N249" s="10">
        <v>3.6150000000000002</v>
      </c>
      <c r="O249" s="10">
        <v>5.4320000000000004</v>
      </c>
    </row>
    <row r="250" spans="1:15" s="10" customFormat="1">
      <c r="A250" s="10" t="str">
        <f t="shared" si="6"/>
        <v>초풍10312</v>
      </c>
      <c r="B250" s="11" t="s">
        <v>27</v>
      </c>
      <c r="C250" s="11">
        <v>10</v>
      </c>
      <c r="D250" s="11">
        <v>3</v>
      </c>
      <c r="E250" s="11">
        <v>1</v>
      </c>
      <c r="F250" s="11">
        <v>2</v>
      </c>
      <c r="G250" s="76">
        <f ca="1">SUMPRODUCT((Master!$A$2:$A$57=$B250)*(Master!$G$2:$G$57+공격력),(Master!$A$2:$A$57=$B250)*Master!$H$2:$H$57,(Master!$A$2:$A$57=$B250)*Master!$D$2:$D$57,(Master!$A$2:$A$57=$B250)*OFFSET(Master!$I$2:$I$57,0,D250-1),(Master!$A$2:$A$57=$B250)*OFFSET(Master!$L$2:$L$57,0,E250-1),(Master!$A$2:$A$57=$B250)*OFFSET(Master!$O$2:$O$57,0,F250-1))</f>
        <v>14521.45054945055</v>
      </c>
      <c r="H250" s="7">
        <f t="shared" si="7"/>
        <v>3.3170000000000002</v>
      </c>
      <c r="I250" s="80">
        <v>45</v>
      </c>
      <c r="J250" s="77">
        <v>461</v>
      </c>
      <c r="K250" s="10" t="str">
        <f>VLOOKUP($B250&amp;1&amp;D250,Sheet3!$A$2:$E$221,5,0)</f>
        <v>화속성, 적중시마다 화상(갱신O 중첩X) 5초(틱당 초풍1타의 52.5%추정)</v>
      </c>
      <c r="L250" s="10" t="str">
        <f>VLOOKUP($B250&amp;2&amp;E250,Sheet3!$A$2:$E$221,5,0)</f>
        <v>공격범위 20% 증가</v>
      </c>
      <c r="M250" s="10" t="str">
        <f>VLOOKUP($B250&amp;3&amp;F250,Sheet3!$A$2:$E$221,5,0)</f>
        <v>지속시간 1초(4타) 증가, 이동성 개선</v>
      </c>
      <c r="N250">
        <v>5.6310000000000002</v>
      </c>
      <c r="O250" s="10">
        <v>8.9480000000000004</v>
      </c>
    </row>
    <row r="251" spans="1:15" s="10" customFormat="1">
      <c r="A251" s="10" t="str">
        <f t="shared" si="6"/>
        <v>초풍10321</v>
      </c>
      <c r="B251" s="11" t="s">
        <v>27</v>
      </c>
      <c r="C251" s="11">
        <v>10</v>
      </c>
      <c r="D251" s="11">
        <v>3</v>
      </c>
      <c r="E251" s="11">
        <v>2</v>
      </c>
      <c r="F251" s="11">
        <v>1</v>
      </c>
      <c r="G251" s="76">
        <f ca="1">SUMPRODUCT((Master!$A$2:$A$57=$B251)*(Master!$G$2:$G$57+공격력),(Master!$A$2:$A$57=$B251)*Master!$H$2:$H$57,(Master!$A$2:$A$57=$B251)*Master!$D$2:$D$57,(Master!$A$2:$A$57=$B251)*OFFSET(Master!$I$2:$I$57,0,D251-1),(Master!$A$2:$A$57=$B251)*OFFSET(Master!$L$2:$L$57,0,E251-1),(Master!$A$2:$A$57=$B251)*OFFSET(Master!$O$2:$O$57,0,F251-1))</f>
        <v>10487.714285714286</v>
      </c>
      <c r="H251" s="7">
        <f t="shared" si="7"/>
        <v>1.8170000000000002</v>
      </c>
      <c r="I251" s="80">
        <v>40</v>
      </c>
      <c r="J251" s="77">
        <v>464</v>
      </c>
      <c r="K251" s="10" t="str">
        <f>VLOOKUP($B251&amp;1&amp;D251,Sheet3!$A$2:$E$221,5,0)</f>
        <v>화속성, 적중시마다 화상(갱신O 중첩X) 5초(틱당 초풍1타의 52.5%추정)</v>
      </c>
      <c r="L251" s="10" t="str">
        <f>VLOOKUP($B251&amp;2&amp;E251,Sheet3!$A$2:$E$221,5,0)</f>
        <v>쿨 5초감소</v>
      </c>
      <c r="M251" s="10" t="str">
        <f>VLOOKUP($B251&amp;3&amp;F251,Sheet3!$A$2:$E$221,5,0)</f>
        <v>공격형태 변경</v>
      </c>
      <c r="N251" s="10">
        <v>3.6150000000000002</v>
      </c>
      <c r="O251" s="10">
        <v>5.4320000000000004</v>
      </c>
    </row>
    <row r="252" spans="1:15" s="10" customFormat="1">
      <c r="A252" s="10" t="str">
        <f t="shared" si="6"/>
        <v>초풍10322</v>
      </c>
      <c r="B252" s="11" t="s">
        <v>27</v>
      </c>
      <c r="C252" s="11">
        <v>10</v>
      </c>
      <c r="D252" s="11">
        <v>3</v>
      </c>
      <c r="E252" s="11">
        <v>2</v>
      </c>
      <c r="F252" s="11">
        <v>2</v>
      </c>
      <c r="G252" s="76">
        <f ca="1">SUMPRODUCT((Master!$A$2:$A$57=$B252)*(Master!$G$2:$G$57+공격력),(Master!$A$2:$A$57=$B252)*Master!$H$2:$H$57,(Master!$A$2:$A$57=$B252)*Master!$D$2:$D$57,(Master!$A$2:$A$57=$B252)*OFFSET(Master!$I$2:$I$57,0,D252-1),(Master!$A$2:$A$57=$B252)*OFFSET(Master!$L$2:$L$57,0,E252-1),(Master!$A$2:$A$57=$B252)*OFFSET(Master!$O$2:$O$57,0,F252-1))</f>
        <v>14521.45054945055</v>
      </c>
      <c r="H252" s="7">
        <f t="shared" si="7"/>
        <v>3.3170000000000002</v>
      </c>
      <c r="I252" s="80">
        <v>45</v>
      </c>
      <c r="J252" s="77">
        <v>461</v>
      </c>
      <c r="K252" s="10" t="str">
        <f>VLOOKUP($B252&amp;1&amp;D252,Sheet3!$A$2:$E$221,5,0)</f>
        <v>화속성, 적중시마다 화상(갱신O 중첩X) 5초(틱당 초풍1타의 52.5%추정)</v>
      </c>
      <c r="L252" s="10" t="str">
        <f>VLOOKUP($B252&amp;2&amp;E252,Sheet3!$A$2:$E$221,5,0)</f>
        <v>쿨 5초감소</v>
      </c>
      <c r="M252" s="10" t="str">
        <f>VLOOKUP($B252&amp;3&amp;F252,Sheet3!$A$2:$E$221,5,0)</f>
        <v>지속시간 1초(4타) 증가, 이동성 개선</v>
      </c>
      <c r="N252">
        <v>5.6310000000000002</v>
      </c>
      <c r="O252" s="10">
        <v>8.9480000000000004</v>
      </c>
    </row>
    <row r="253" spans="1:15" s="10" customFormat="1">
      <c r="A253" s="10" t="str">
        <f t="shared" si="6"/>
        <v>초풍10331</v>
      </c>
      <c r="B253" s="11" t="s">
        <v>27</v>
      </c>
      <c r="C253" s="11">
        <v>10</v>
      </c>
      <c r="D253" s="11">
        <v>3</v>
      </c>
      <c r="E253" s="11">
        <v>3</v>
      </c>
      <c r="F253" s="11">
        <v>1</v>
      </c>
      <c r="G253" s="76">
        <f ca="1">SUMPRODUCT((Master!$A$2:$A$57=$B253)*(Master!$G$2:$G$57+공격력),(Master!$A$2:$A$57=$B253)*Master!$H$2:$H$57,(Master!$A$2:$A$57=$B253)*Master!$D$2:$D$57,(Master!$A$2:$A$57=$B253)*OFFSET(Master!$I$2:$I$57,0,D253-1),(Master!$A$2:$A$57=$B253)*OFFSET(Master!$L$2:$L$57,0,E253-1),(Master!$A$2:$A$57=$B253)*OFFSET(Master!$O$2:$O$57,0,F253-1))</f>
        <v>10487.714285714286</v>
      </c>
      <c r="H253" s="7">
        <f t="shared" si="7"/>
        <v>1.516</v>
      </c>
      <c r="I253" s="80">
        <v>40</v>
      </c>
      <c r="J253" s="77">
        <v>464</v>
      </c>
      <c r="K253" s="10" t="str">
        <f>VLOOKUP($B253&amp;1&amp;D253,Sheet3!$A$2:$E$221,5,0)</f>
        <v>화속성, 적중시마다 화상(갱신O 중첩X) 5초(틱당 초풍1타의 52.5%추정)</v>
      </c>
      <c r="L253" s="10" t="str">
        <f>VLOOKUP($B253&amp;2&amp;E253,Sheet3!$A$2:$E$221,5,0)</f>
        <v>공속 20%증가</v>
      </c>
      <c r="M253" s="10" t="str">
        <f>VLOOKUP($B253&amp;3&amp;F253,Sheet3!$A$2:$E$221,5,0)</f>
        <v>공격형태 변경</v>
      </c>
      <c r="N253" s="10">
        <v>2.516</v>
      </c>
      <c r="O253" s="10">
        <v>4.032</v>
      </c>
    </row>
    <row r="254" spans="1:15" s="10" customFormat="1">
      <c r="A254" s="10" t="str">
        <f t="shared" si="6"/>
        <v>초풍10332</v>
      </c>
      <c r="B254" s="11" t="s">
        <v>27</v>
      </c>
      <c r="C254" s="11">
        <v>10</v>
      </c>
      <c r="D254" s="11">
        <v>3</v>
      </c>
      <c r="E254" s="11">
        <v>3</v>
      </c>
      <c r="F254" s="11">
        <v>2</v>
      </c>
      <c r="G254" s="76">
        <f ca="1">SUMPRODUCT((Master!$A$2:$A$57=$B254)*(Master!$G$2:$G$57+공격력),(Master!$A$2:$A$57=$B254)*Master!$H$2:$H$57,(Master!$A$2:$A$57=$B254)*Master!$D$2:$D$57,(Master!$A$2:$A$57=$B254)*OFFSET(Master!$I$2:$I$57,0,D254-1),(Master!$A$2:$A$57=$B254)*OFFSET(Master!$L$2:$L$57,0,E254-1),(Master!$A$2:$A$57=$B254)*OFFSET(Master!$O$2:$O$57,0,F254-1))</f>
        <v>14521.45054945055</v>
      </c>
      <c r="H254" s="7">
        <f t="shared" si="7"/>
        <v>2.7490000000000006</v>
      </c>
      <c r="I254" s="80">
        <v>45</v>
      </c>
      <c r="J254" s="77">
        <v>461</v>
      </c>
      <c r="K254" s="10" t="str">
        <f>VLOOKUP($B254&amp;1&amp;D254,Sheet3!$A$2:$E$221,5,0)</f>
        <v>화속성, 적중시마다 화상(갱신O 중첩X) 5초(틱당 초풍1타의 52.5%추정)</v>
      </c>
      <c r="L254" s="10" t="str">
        <f>VLOOKUP($B254&amp;2&amp;E254,Sheet3!$A$2:$E$221,5,0)</f>
        <v>공속 20%증가</v>
      </c>
      <c r="M254" s="10" t="str">
        <f>VLOOKUP($B254&amp;3&amp;F254,Sheet3!$A$2:$E$221,5,0)</f>
        <v>지속시간 1초(4타) 증가, 이동성 개선</v>
      </c>
      <c r="N254" s="10">
        <v>6.1989999999999998</v>
      </c>
      <c r="O254" s="10">
        <v>8.9480000000000004</v>
      </c>
    </row>
    <row r="255" spans="1:15">
      <c r="A255" t="str">
        <f t="shared" si="6"/>
        <v>폭쇄10111</v>
      </c>
      <c r="B255" s="16" t="s">
        <v>13</v>
      </c>
      <c r="C255" s="16">
        <v>10</v>
      </c>
      <c r="D255" s="16">
        <v>1</v>
      </c>
      <c r="E255" s="16">
        <v>1</v>
      </c>
      <c r="F255" s="16">
        <v>1</v>
      </c>
      <c r="G255" s="1">
        <f ca="1">SUMPRODUCT((Master!$A$2:$A$57=$B255)*(Master!$G$2:$G$57+공격력),(Master!$A$2:$A$57=$B255)*Master!$H$2:$H$57,(Master!$A$2:$A$57=$B255)*Master!$D$2:$D$57,(Master!$A$2:$A$57=$B255)*OFFSET(Master!$I$2:$I$57,0,D255-1),(Master!$A$2:$A$57=$B255)*OFFSET(Master!$L$2:$L$57,0,E255-1),(Master!$A$2:$A$57=$B255)*OFFSET(Master!$O$2:$O$57,0,F255-1))</f>
        <v>21463.074285714283</v>
      </c>
      <c r="H255" s="7">
        <f t="shared" si="7"/>
        <v>2.0649999999999977</v>
      </c>
      <c r="I255" s="79">
        <v>-200</v>
      </c>
      <c r="J255" s="78">
        <v>494</v>
      </c>
      <c r="K255" t="str">
        <f>VLOOKUP($B255&amp;1&amp;D255,Sheet3!$A$2:$E$221,5,0)</f>
        <v>-</v>
      </c>
      <c r="L255" t="str">
        <f>VLOOKUP($B255&amp;2&amp;E255,Sheet3!$A$2:$E$221,5,0)</f>
        <v>75%로 버블 획득</v>
      </c>
      <c r="M255" t="str">
        <f>VLOOKUP($B255&amp;3&amp;F255,Sheet3!$A$2:$E$221,5,0)</f>
        <v>세방향으로 범위 증가. 단일대상 중복 히트 불가</v>
      </c>
      <c r="N255" s="10">
        <v>23.149000000000001</v>
      </c>
      <c r="O255" s="10">
        <v>25.213999999999999</v>
      </c>
    </row>
    <row r="256" spans="1:15">
      <c r="A256" t="str">
        <f t="shared" si="6"/>
        <v>폭쇄10112</v>
      </c>
      <c r="B256" s="16" t="s">
        <v>13</v>
      </c>
      <c r="C256" s="16">
        <v>10</v>
      </c>
      <c r="D256" s="16">
        <v>1</v>
      </c>
      <c r="E256" s="16">
        <v>1</v>
      </c>
      <c r="F256" s="16">
        <v>2</v>
      </c>
      <c r="G256" s="1">
        <f ca="1">SUMPRODUCT((Master!$A$2:$A$57=$B256)*(Master!$G$2:$G$57+공격력),(Master!$A$2:$A$57=$B256)*Master!$H$2:$H$57,(Master!$A$2:$A$57=$B256)*Master!$D$2:$D$57,(Master!$A$2:$A$57=$B256)*OFFSET(Master!$I$2:$I$57,0,D256-1),(Master!$A$2:$A$57=$B256)*OFFSET(Master!$L$2:$L$57,0,E256-1),(Master!$A$2:$A$57=$B256)*OFFSET(Master!$O$2:$O$57,0,F256-1))</f>
        <v>26423.330058388477</v>
      </c>
      <c r="H256" s="7">
        <f t="shared" si="7"/>
        <v>3.0500000000000043</v>
      </c>
      <c r="I256" s="79">
        <v>-200</v>
      </c>
      <c r="J256" s="78">
        <v>473</v>
      </c>
      <c r="K256" t="str">
        <f>VLOOKUP($B256&amp;1&amp;D256,Sheet3!$A$2:$E$221,5,0)</f>
        <v>-</v>
      </c>
      <c r="L256" t="str">
        <f>VLOOKUP($B256&amp;2&amp;E256,Sheet3!$A$2:$E$221,5,0)</f>
        <v>75%로 버블 획득</v>
      </c>
      <c r="M256" t="str">
        <f>VLOOKUP($B256&amp;3&amp;F256,Sheet3!$A$2:$E$221,5,0)</f>
        <v>-</v>
      </c>
      <c r="N256" s="10">
        <v>40.780999999999999</v>
      </c>
      <c r="O256" s="10">
        <v>43.831000000000003</v>
      </c>
    </row>
    <row r="257" spans="1:15">
      <c r="A257" t="str">
        <f t="shared" si="6"/>
        <v>폭쇄10121</v>
      </c>
      <c r="B257" s="16" t="s">
        <v>13</v>
      </c>
      <c r="C257" s="16">
        <v>10</v>
      </c>
      <c r="D257" s="16">
        <v>1</v>
      </c>
      <c r="E257" s="16">
        <v>2</v>
      </c>
      <c r="F257" s="16">
        <v>1</v>
      </c>
      <c r="G257" s="1">
        <f ca="1">SUMPRODUCT((Master!$A$2:$A$57=$B257)*(Master!$G$2:$G$57+공격력),(Master!$A$2:$A$57=$B257)*Master!$H$2:$H$57,(Master!$A$2:$A$57=$B257)*Master!$D$2:$D$57,(Master!$A$2:$A$57=$B257)*OFFSET(Master!$I$2:$I$57,0,D257-1),(Master!$A$2:$A$57=$B257)*OFFSET(Master!$L$2:$L$57,0,E257-1),(Master!$A$2:$A$57=$B257)*OFFSET(Master!$O$2:$O$57,0,F257-1))</f>
        <v>21463.074285714283</v>
      </c>
      <c r="H257" s="7">
        <f t="shared" si="7"/>
        <v>2.0649999999999977</v>
      </c>
      <c r="I257" s="79">
        <v>-200</v>
      </c>
      <c r="J257" s="78">
        <v>494</v>
      </c>
      <c r="K257" t="str">
        <f>VLOOKUP($B257&amp;1&amp;D257,Sheet3!$A$2:$E$221,5,0)</f>
        <v>-</v>
      </c>
      <c r="L257" t="str">
        <f>VLOOKUP($B257&amp;2&amp;E257,Sheet3!$A$2:$E$221,5,0)</f>
        <v>수속성, 적중시 4초간 동결</v>
      </c>
      <c r="M257" t="str">
        <f>VLOOKUP($B257&amp;3&amp;F257,Sheet3!$A$2:$E$221,5,0)</f>
        <v>세방향으로 범위 증가. 단일대상 중복 히트 불가</v>
      </c>
      <c r="N257" s="10">
        <v>23.149000000000001</v>
      </c>
      <c r="O257" s="10">
        <v>25.213999999999999</v>
      </c>
    </row>
    <row r="258" spans="1:15">
      <c r="A258" t="str">
        <f t="shared" ref="A258:A321" si="8">B258&amp;C258&amp;D258&amp;E258&amp;F258</f>
        <v>폭쇄10122</v>
      </c>
      <c r="B258" s="16" t="s">
        <v>13</v>
      </c>
      <c r="C258" s="16">
        <v>10</v>
      </c>
      <c r="D258" s="16">
        <v>1</v>
      </c>
      <c r="E258" s="16">
        <v>2</v>
      </c>
      <c r="F258" s="16">
        <v>2</v>
      </c>
      <c r="G258" s="1">
        <f ca="1">SUMPRODUCT((Master!$A$2:$A$57=$B258)*(Master!$G$2:$G$57+공격력),(Master!$A$2:$A$57=$B258)*Master!$H$2:$H$57,(Master!$A$2:$A$57=$B258)*Master!$D$2:$D$57,(Master!$A$2:$A$57=$B258)*OFFSET(Master!$I$2:$I$57,0,D258-1),(Master!$A$2:$A$57=$B258)*OFFSET(Master!$L$2:$L$57,0,E258-1),(Master!$A$2:$A$57=$B258)*OFFSET(Master!$O$2:$O$57,0,F258-1))</f>
        <v>26423.330058388477</v>
      </c>
      <c r="H258" s="7">
        <f t="shared" ref="H258:H321" si="9">(O258-N258)</f>
        <v>3.0500000000000043</v>
      </c>
      <c r="I258" s="79">
        <v>-200</v>
      </c>
      <c r="J258" s="78">
        <v>473</v>
      </c>
      <c r="K258" t="str">
        <f>VLOOKUP($B258&amp;1&amp;D258,Sheet3!$A$2:$E$221,5,0)</f>
        <v>-</v>
      </c>
      <c r="L258" t="str">
        <f>VLOOKUP($B258&amp;2&amp;E258,Sheet3!$A$2:$E$221,5,0)</f>
        <v>수속성, 적중시 4초간 동결</v>
      </c>
      <c r="M258" t="str">
        <f>VLOOKUP($B258&amp;3&amp;F258,Sheet3!$A$2:$E$221,5,0)</f>
        <v>-</v>
      </c>
      <c r="N258" s="10">
        <v>40.780999999999999</v>
      </c>
      <c r="O258" s="10">
        <v>43.831000000000003</v>
      </c>
    </row>
    <row r="259" spans="1:15">
      <c r="A259" t="str">
        <f t="shared" si="8"/>
        <v>폭쇄10131</v>
      </c>
      <c r="B259" s="16" t="s">
        <v>13</v>
      </c>
      <c r="C259" s="16">
        <v>10</v>
      </c>
      <c r="D259" s="16">
        <v>1</v>
      </c>
      <c r="E259" s="16">
        <v>3</v>
      </c>
      <c r="F259" s="16">
        <v>1</v>
      </c>
      <c r="G259" s="1">
        <f ca="1">SUMPRODUCT((Master!$A$2:$A$57=$B259)*(Master!$G$2:$G$57+공격력),(Master!$A$2:$A$57=$B259)*Master!$H$2:$H$57,(Master!$A$2:$A$57=$B259)*Master!$D$2:$D$57,(Master!$A$2:$A$57=$B259)*OFFSET(Master!$I$2:$I$57,0,D259-1),(Master!$A$2:$A$57=$B259)*OFFSET(Master!$L$2:$L$57,0,E259-1),(Master!$A$2:$A$57=$B259)*OFFSET(Master!$O$2:$O$57,0,F259-1))</f>
        <v>21463.074285714283</v>
      </c>
      <c r="H259" s="7">
        <f t="shared" si="9"/>
        <v>2.0649999999999977</v>
      </c>
      <c r="I259" s="79">
        <v>-200</v>
      </c>
      <c r="J259" s="78">
        <v>494</v>
      </c>
      <c r="K259" t="str">
        <f>VLOOKUP($B259&amp;1&amp;D259,Sheet3!$A$2:$E$221,5,0)</f>
        <v>-</v>
      </c>
      <c r="L259" t="str">
        <f>VLOOKUP($B259&amp;2&amp;E259,Sheet3!$A$2:$E$221,5,0)</f>
        <v>화속성, 적중시 화상. 최대 6중첩(중첩당 기본데미지의 10% 추정)</v>
      </c>
      <c r="M259" t="str">
        <f>VLOOKUP($B259&amp;3&amp;F259,Sheet3!$A$2:$E$221,5,0)</f>
        <v>세방향으로 범위 증가. 단일대상 중복 히트 불가</v>
      </c>
      <c r="N259" s="10">
        <v>23.149000000000001</v>
      </c>
      <c r="O259" s="10">
        <v>25.213999999999999</v>
      </c>
    </row>
    <row r="260" spans="1:15">
      <c r="A260" t="str">
        <f t="shared" si="8"/>
        <v>폭쇄10132</v>
      </c>
      <c r="B260" s="16" t="s">
        <v>13</v>
      </c>
      <c r="C260" s="16">
        <v>10</v>
      </c>
      <c r="D260" s="16">
        <v>1</v>
      </c>
      <c r="E260" s="16">
        <v>3</v>
      </c>
      <c r="F260" s="16">
        <v>2</v>
      </c>
      <c r="G260" s="1">
        <f ca="1">SUMPRODUCT((Master!$A$2:$A$57=$B260)*(Master!$G$2:$G$57+공격력),(Master!$A$2:$A$57=$B260)*Master!$H$2:$H$57,(Master!$A$2:$A$57=$B260)*Master!$D$2:$D$57,(Master!$A$2:$A$57=$B260)*OFFSET(Master!$I$2:$I$57,0,D260-1),(Master!$A$2:$A$57=$B260)*OFFSET(Master!$L$2:$L$57,0,E260-1),(Master!$A$2:$A$57=$B260)*OFFSET(Master!$O$2:$O$57,0,F260-1))</f>
        <v>26423.330058388477</v>
      </c>
      <c r="H260" s="7">
        <f t="shared" si="9"/>
        <v>3.0500000000000043</v>
      </c>
      <c r="I260" s="79">
        <v>-200</v>
      </c>
      <c r="J260" s="78">
        <v>473</v>
      </c>
      <c r="K260" t="str">
        <f>VLOOKUP($B260&amp;1&amp;D260,Sheet3!$A$2:$E$221,5,0)</f>
        <v>-</v>
      </c>
      <c r="L260" t="str">
        <f>VLOOKUP($B260&amp;2&amp;E260,Sheet3!$A$2:$E$221,5,0)</f>
        <v>화속성, 적중시 화상. 최대 6중첩(중첩당 기본데미지의 10% 추정)</v>
      </c>
      <c r="M260" t="str">
        <f>VLOOKUP($B260&amp;3&amp;F260,Sheet3!$A$2:$E$221,5,0)</f>
        <v>-</v>
      </c>
      <c r="N260" s="10">
        <v>40.780999999999999</v>
      </c>
      <c r="O260" s="10">
        <v>43.831000000000003</v>
      </c>
    </row>
    <row r="261" spans="1:15">
      <c r="A261" t="str">
        <f t="shared" si="8"/>
        <v>폭쇄10211</v>
      </c>
      <c r="B261" s="16" t="s">
        <v>13</v>
      </c>
      <c r="C261" s="16">
        <v>10</v>
      </c>
      <c r="D261" s="16">
        <v>2</v>
      </c>
      <c r="E261" s="16">
        <v>1</v>
      </c>
      <c r="F261" s="16">
        <v>1</v>
      </c>
      <c r="G261" s="1">
        <f ca="1">SUMPRODUCT((Master!$A$2:$A$57=$B261)*(Master!$G$2:$G$57+공격력),(Master!$A$2:$A$57=$B261)*Master!$H$2:$H$57,(Master!$A$2:$A$57=$B261)*Master!$D$2:$D$57,(Master!$A$2:$A$57=$B261)*OFFSET(Master!$I$2:$I$57,0,D261-1),(Master!$A$2:$A$57=$B261)*OFFSET(Master!$L$2:$L$57,0,E261-1),(Master!$A$2:$A$57=$B261)*OFFSET(Master!$O$2:$O$57,0,F261-1))</f>
        <v>18573.326785714286</v>
      </c>
      <c r="H261" s="7">
        <f t="shared" si="9"/>
        <v>2.0649999999999977</v>
      </c>
      <c r="I261" s="79">
        <v>-200</v>
      </c>
      <c r="J261" s="78">
        <v>494</v>
      </c>
      <c r="K261" t="str">
        <f>VLOOKUP($B261&amp;1&amp;D261,Sheet3!$A$2:$E$221,5,0)</f>
        <v>-</v>
      </c>
      <c r="L261" t="str">
        <f>VLOOKUP($B261&amp;2&amp;E261,Sheet3!$A$2:$E$221,5,0)</f>
        <v>75%로 버블 획득</v>
      </c>
      <c r="M261" t="str">
        <f>VLOOKUP($B261&amp;3&amp;F261,Sheet3!$A$2:$E$221,5,0)</f>
        <v>세방향으로 범위 증가. 단일대상 중복 히트 불가</v>
      </c>
      <c r="N261" s="10">
        <v>23.149000000000001</v>
      </c>
      <c r="O261" s="10">
        <v>25.213999999999999</v>
      </c>
    </row>
    <row r="262" spans="1:15">
      <c r="A262" t="str">
        <f t="shared" si="8"/>
        <v>폭쇄10212</v>
      </c>
      <c r="B262" s="16" t="s">
        <v>13</v>
      </c>
      <c r="C262" s="16">
        <v>10</v>
      </c>
      <c r="D262" s="16">
        <v>2</v>
      </c>
      <c r="E262" s="16">
        <v>1</v>
      </c>
      <c r="F262" s="16">
        <v>2</v>
      </c>
      <c r="G262" s="1">
        <f ca="1">SUMPRODUCT((Master!$A$2:$A$57=$B262)*(Master!$G$2:$G$57+공격력),(Master!$A$2:$A$57=$B262)*Master!$H$2:$H$57,(Master!$A$2:$A$57=$B262)*Master!$D$2:$D$57,(Master!$A$2:$A$57=$B262)*OFFSET(Master!$I$2:$I$57,0,D262-1),(Master!$A$2:$A$57=$B262)*OFFSET(Master!$L$2:$L$57,0,E262-1),(Master!$A$2:$A$57=$B262)*OFFSET(Master!$O$2:$O$57,0,F262-1))</f>
        <v>21912.769000958171</v>
      </c>
      <c r="H262" s="7">
        <f t="shared" si="9"/>
        <v>3.0500000000000043</v>
      </c>
      <c r="I262" s="79">
        <v>-200</v>
      </c>
      <c r="J262" s="78">
        <v>473</v>
      </c>
      <c r="K262" t="str">
        <f>VLOOKUP($B262&amp;1&amp;D262,Sheet3!$A$2:$E$221,5,0)</f>
        <v>-</v>
      </c>
      <c r="L262" t="str">
        <f>VLOOKUP($B262&amp;2&amp;E262,Sheet3!$A$2:$E$221,5,0)</f>
        <v>75%로 버블 획득</v>
      </c>
      <c r="M262" t="str">
        <f>VLOOKUP($B262&amp;3&amp;F262,Sheet3!$A$2:$E$221,5,0)</f>
        <v>-</v>
      </c>
      <c r="N262" s="10">
        <v>40.780999999999999</v>
      </c>
      <c r="O262" s="10">
        <v>43.831000000000003</v>
      </c>
    </row>
    <row r="263" spans="1:15">
      <c r="A263" t="str">
        <f t="shared" si="8"/>
        <v>폭쇄10221</v>
      </c>
      <c r="B263" s="16" t="s">
        <v>13</v>
      </c>
      <c r="C263" s="16">
        <v>10</v>
      </c>
      <c r="D263" s="16">
        <v>2</v>
      </c>
      <c r="E263" s="16">
        <v>2</v>
      </c>
      <c r="F263" s="16">
        <v>1</v>
      </c>
      <c r="G263" s="1">
        <f ca="1">SUMPRODUCT((Master!$A$2:$A$57=$B263)*(Master!$G$2:$G$57+공격력),(Master!$A$2:$A$57=$B263)*Master!$H$2:$H$57,(Master!$A$2:$A$57=$B263)*Master!$D$2:$D$57,(Master!$A$2:$A$57=$B263)*OFFSET(Master!$I$2:$I$57,0,D263-1),(Master!$A$2:$A$57=$B263)*OFFSET(Master!$L$2:$L$57,0,E263-1),(Master!$A$2:$A$57=$B263)*OFFSET(Master!$O$2:$O$57,0,F263-1))</f>
        <v>18573.326785714286</v>
      </c>
      <c r="H263" s="7">
        <f t="shared" si="9"/>
        <v>2.0649999999999977</v>
      </c>
      <c r="I263" s="79">
        <v>-200</v>
      </c>
      <c r="J263" s="78">
        <v>494</v>
      </c>
      <c r="K263" t="str">
        <f>VLOOKUP($B263&amp;1&amp;D263,Sheet3!$A$2:$E$221,5,0)</f>
        <v>-</v>
      </c>
      <c r="L263" t="str">
        <f>VLOOKUP($B263&amp;2&amp;E263,Sheet3!$A$2:$E$221,5,0)</f>
        <v>수속성, 적중시 4초간 동결</v>
      </c>
      <c r="M263" t="str">
        <f>VLOOKUP($B263&amp;3&amp;F263,Sheet3!$A$2:$E$221,5,0)</f>
        <v>세방향으로 범위 증가. 단일대상 중복 히트 불가</v>
      </c>
      <c r="N263" s="10">
        <v>23.149000000000001</v>
      </c>
      <c r="O263" s="10">
        <v>25.213999999999999</v>
      </c>
    </row>
    <row r="264" spans="1:15">
      <c r="A264" t="str">
        <f t="shared" si="8"/>
        <v>폭쇄10222</v>
      </c>
      <c r="B264" s="16" t="s">
        <v>13</v>
      </c>
      <c r="C264" s="16">
        <v>10</v>
      </c>
      <c r="D264" s="16">
        <v>2</v>
      </c>
      <c r="E264" s="16">
        <v>2</v>
      </c>
      <c r="F264" s="16">
        <v>2</v>
      </c>
      <c r="G264" s="1">
        <f ca="1">SUMPRODUCT((Master!$A$2:$A$57=$B264)*(Master!$G$2:$G$57+공격력),(Master!$A$2:$A$57=$B264)*Master!$H$2:$H$57,(Master!$A$2:$A$57=$B264)*Master!$D$2:$D$57,(Master!$A$2:$A$57=$B264)*OFFSET(Master!$I$2:$I$57,0,D264-1),(Master!$A$2:$A$57=$B264)*OFFSET(Master!$L$2:$L$57,0,E264-1),(Master!$A$2:$A$57=$B264)*OFFSET(Master!$O$2:$O$57,0,F264-1))</f>
        <v>21912.769000958171</v>
      </c>
      <c r="H264" s="7">
        <f t="shared" si="9"/>
        <v>3.0500000000000043</v>
      </c>
      <c r="I264" s="79">
        <v>-200</v>
      </c>
      <c r="J264" s="78">
        <v>473</v>
      </c>
      <c r="K264" t="str">
        <f>VLOOKUP($B264&amp;1&amp;D264,Sheet3!$A$2:$E$221,5,0)</f>
        <v>-</v>
      </c>
      <c r="L264" t="str">
        <f>VLOOKUP($B264&amp;2&amp;E264,Sheet3!$A$2:$E$221,5,0)</f>
        <v>수속성, 적중시 4초간 동결</v>
      </c>
      <c r="M264" t="str">
        <f>VLOOKUP($B264&amp;3&amp;F264,Sheet3!$A$2:$E$221,5,0)</f>
        <v>-</v>
      </c>
      <c r="N264" s="10">
        <v>40.780999999999999</v>
      </c>
      <c r="O264" s="10">
        <v>43.831000000000003</v>
      </c>
    </row>
    <row r="265" spans="1:15">
      <c r="A265" t="str">
        <f t="shared" si="8"/>
        <v>폭쇄10231</v>
      </c>
      <c r="B265" s="16" t="s">
        <v>13</v>
      </c>
      <c r="C265" s="16">
        <v>10</v>
      </c>
      <c r="D265" s="16">
        <v>2</v>
      </c>
      <c r="E265" s="16">
        <v>3</v>
      </c>
      <c r="F265" s="16">
        <v>1</v>
      </c>
      <c r="G265" s="1">
        <f ca="1">SUMPRODUCT((Master!$A$2:$A$57=$B265)*(Master!$G$2:$G$57+공격력),(Master!$A$2:$A$57=$B265)*Master!$H$2:$H$57,(Master!$A$2:$A$57=$B265)*Master!$D$2:$D$57,(Master!$A$2:$A$57=$B265)*OFFSET(Master!$I$2:$I$57,0,D265-1),(Master!$A$2:$A$57=$B265)*OFFSET(Master!$L$2:$L$57,0,E265-1),(Master!$A$2:$A$57=$B265)*OFFSET(Master!$O$2:$O$57,0,F265-1))</f>
        <v>18573.326785714286</v>
      </c>
      <c r="H265" s="7">
        <f t="shared" si="9"/>
        <v>2.0649999999999977</v>
      </c>
      <c r="I265" s="79">
        <v>-200</v>
      </c>
      <c r="J265" s="78">
        <v>494</v>
      </c>
      <c r="K265" t="str">
        <f>VLOOKUP($B265&amp;1&amp;D265,Sheet3!$A$2:$E$221,5,0)</f>
        <v>-</v>
      </c>
      <c r="L265" t="str">
        <f>VLOOKUP($B265&amp;2&amp;E265,Sheet3!$A$2:$E$221,5,0)</f>
        <v>화속성, 적중시 화상. 최대 6중첩(중첩당 기본데미지의 10% 추정)</v>
      </c>
      <c r="M265" t="str">
        <f>VLOOKUP($B265&amp;3&amp;F265,Sheet3!$A$2:$E$221,5,0)</f>
        <v>세방향으로 범위 증가. 단일대상 중복 히트 불가</v>
      </c>
      <c r="N265" s="10">
        <v>23.149000000000001</v>
      </c>
      <c r="O265" s="10">
        <v>25.213999999999999</v>
      </c>
    </row>
    <row r="266" spans="1:15">
      <c r="A266" t="str">
        <f t="shared" si="8"/>
        <v>폭쇄10232</v>
      </c>
      <c r="B266" s="16" t="s">
        <v>13</v>
      </c>
      <c r="C266" s="16">
        <v>10</v>
      </c>
      <c r="D266" s="16">
        <v>2</v>
      </c>
      <c r="E266" s="16">
        <v>3</v>
      </c>
      <c r="F266" s="16">
        <v>2</v>
      </c>
      <c r="G266" s="1">
        <f ca="1">SUMPRODUCT((Master!$A$2:$A$57=$B266)*(Master!$G$2:$G$57+공격력),(Master!$A$2:$A$57=$B266)*Master!$H$2:$H$57,(Master!$A$2:$A$57=$B266)*Master!$D$2:$D$57,(Master!$A$2:$A$57=$B266)*OFFSET(Master!$I$2:$I$57,0,D266-1),(Master!$A$2:$A$57=$B266)*OFFSET(Master!$L$2:$L$57,0,E266-1),(Master!$A$2:$A$57=$B266)*OFFSET(Master!$O$2:$O$57,0,F266-1))</f>
        <v>21912.769000958171</v>
      </c>
      <c r="H266" s="7">
        <f t="shared" si="9"/>
        <v>3.0500000000000043</v>
      </c>
      <c r="I266" s="79">
        <v>-200</v>
      </c>
      <c r="J266" s="78">
        <v>473</v>
      </c>
      <c r="K266" t="str">
        <f>VLOOKUP($B266&amp;1&amp;D266,Sheet3!$A$2:$E$221,5,0)</f>
        <v>-</v>
      </c>
      <c r="L266" t="str">
        <f>VLOOKUP($B266&amp;2&amp;E266,Sheet3!$A$2:$E$221,5,0)</f>
        <v>화속성, 적중시 화상. 최대 6중첩(중첩당 기본데미지의 10% 추정)</v>
      </c>
      <c r="M266" t="str">
        <f>VLOOKUP($B266&amp;3&amp;F266,Sheet3!$A$2:$E$221,5,0)</f>
        <v>-</v>
      </c>
      <c r="N266" s="10">
        <v>40.780999999999999</v>
      </c>
      <c r="O266" s="10">
        <v>43.831000000000003</v>
      </c>
    </row>
    <row r="267" spans="1:15">
      <c r="A267" t="str">
        <f t="shared" si="8"/>
        <v>폭쇄10311</v>
      </c>
      <c r="B267" s="16" t="s">
        <v>13</v>
      </c>
      <c r="C267" s="16">
        <v>10</v>
      </c>
      <c r="D267" s="16">
        <v>3</v>
      </c>
      <c r="E267" s="16">
        <v>1</v>
      </c>
      <c r="F267" s="16">
        <v>1</v>
      </c>
      <c r="G267" s="1">
        <f ca="1">SUMPRODUCT((Master!$A$2:$A$57=$B267)*(Master!$G$2:$G$57+공격력),(Master!$A$2:$A$57=$B267)*Master!$H$2:$H$57,(Master!$A$2:$A$57=$B267)*Master!$D$2:$D$57,(Master!$A$2:$A$57=$B267)*OFFSET(Master!$I$2:$I$57,0,D267-1),(Master!$A$2:$A$57=$B267)*OFFSET(Master!$L$2:$L$57,0,E267-1),(Master!$A$2:$A$57=$B267)*OFFSET(Master!$O$2:$O$57,0,F267-1))</f>
        <v>17161.23605642857</v>
      </c>
      <c r="H267" s="7">
        <f t="shared" si="9"/>
        <v>2.0649999999999977</v>
      </c>
      <c r="I267" s="79">
        <v>-200</v>
      </c>
      <c r="J267" s="78">
        <v>494</v>
      </c>
      <c r="K267" t="str">
        <f>VLOOKUP($B267&amp;1&amp;D267,Sheet3!$A$2:$E$221,5,0)</f>
        <v>적중된 적의 수x3%만큼 공격력 증가. 최대 10중첩, 단일대상에게 중복적용</v>
      </c>
      <c r="L267" t="str">
        <f>VLOOKUP($B267&amp;2&amp;E267,Sheet3!$A$2:$E$221,5,0)</f>
        <v>75%로 버블 획득</v>
      </c>
      <c r="M267" t="str">
        <f>VLOOKUP($B267&amp;3&amp;F267,Sheet3!$A$2:$E$221,5,0)</f>
        <v>세방향으로 범위 증가. 단일대상 중복 히트 불가</v>
      </c>
      <c r="N267" s="10">
        <v>23.149000000000001</v>
      </c>
      <c r="O267" s="10">
        <v>25.213999999999999</v>
      </c>
    </row>
    <row r="268" spans="1:15">
      <c r="A268" t="str">
        <f t="shared" si="8"/>
        <v>폭쇄10312</v>
      </c>
      <c r="B268" s="16" t="s">
        <v>13</v>
      </c>
      <c r="C268" s="16">
        <v>10</v>
      </c>
      <c r="D268" s="16">
        <v>3</v>
      </c>
      <c r="E268" s="16">
        <v>1</v>
      </c>
      <c r="F268" s="16">
        <v>2</v>
      </c>
      <c r="G268" s="1">
        <f ca="1">SUMPRODUCT((Master!$A$2:$A$57=$B268)*(Master!$G$2:$G$57+공격력),(Master!$A$2:$A$57=$B268)*Master!$H$2:$H$57,(Master!$A$2:$A$57=$B268)*Master!$D$2:$D$57,(Master!$A$2:$A$57=$B268)*OFFSET(Master!$I$2:$I$57,0,D268-1),(Master!$A$2:$A$57=$B268)*OFFSET(Master!$L$2:$L$57,0,E268-1),(Master!$A$2:$A$57=$B268)*OFFSET(Master!$O$2:$O$57,0,F268-1))</f>
        <v>22084.768463863522</v>
      </c>
      <c r="H268" s="7">
        <f t="shared" si="9"/>
        <v>3.0500000000000043</v>
      </c>
      <c r="I268" s="79">
        <v>-200</v>
      </c>
      <c r="J268" s="78">
        <v>473</v>
      </c>
      <c r="K268" t="str">
        <f>VLOOKUP($B268&amp;1&amp;D268,Sheet3!$A$2:$E$221,5,0)</f>
        <v>적중된 적의 수x3%만큼 공격력 증가. 최대 10중첩, 단일대상에게 중복적용</v>
      </c>
      <c r="L268" t="str">
        <f>VLOOKUP($B268&amp;2&amp;E268,Sheet3!$A$2:$E$221,5,0)</f>
        <v>75%로 버블 획득</v>
      </c>
      <c r="M268" t="str">
        <f>VLOOKUP($B268&amp;3&amp;F268,Sheet3!$A$2:$E$221,5,0)</f>
        <v>-</v>
      </c>
      <c r="N268" s="10">
        <v>40.780999999999999</v>
      </c>
      <c r="O268" s="10">
        <v>43.831000000000003</v>
      </c>
    </row>
    <row r="269" spans="1:15">
      <c r="A269" t="str">
        <f t="shared" si="8"/>
        <v>폭쇄10321</v>
      </c>
      <c r="B269" s="16" t="s">
        <v>13</v>
      </c>
      <c r="C269" s="16">
        <v>10</v>
      </c>
      <c r="D269" s="16">
        <v>3</v>
      </c>
      <c r="E269" s="16">
        <v>2</v>
      </c>
      <c r="F269" s="16">
        <v>1</v>
      </c>
      <c r="G269" s="1">
        <f ca="1">SUMPRODUCT((Master!$A$2:$A$57=$B269)*(Master!$G$2:$G$57+공격력),(Master!$A$2:$A$57=$B269)*Master!$H$2:$H$57,(Master!$A$2:$A$57=$B269)*Master!$D$2:$D$57,(Master!$A$2:$A$57=$B269)*OFFSET(Master!$I$2:$I$57,0,D269-1),(Master!$A$2:$A$57=$B269)*OFFSET(Master!$L$2:$L$57,0,E269-1),(Master!$A$2:$A$57=$B269)*OFFSET(Master!$O$2:$O$57,0,F269-1))</f>
        <v>17161.23605642857</v>
      </c>
      <c r="H269" s="7">
        <f t="shared" si="9"/>
        <v>2.0649999999999977</v>
      </c>
      <c r="I269" s="79">
        <v>-200</v>
      </c>
      <c r="J269" s="78">
        <v>494</v>
      </c>
      <c r="K269" t="str">
        <f>VLOOKUP($B269&amp;1&amp;D269,Sheet3!$A$2:$E$221,5,0)</f>
        <v>적중된 적의 수x3%만큼 공격력 증가. 최대 10중첩, 단일대상에게 중복적용</v>
      </c>
      <c r="L269" t="str">
        <f>VLOOKUP($B269&amp;2&amp;E269,Sheet3!$A$2:$E$221,5,0)</f>
        <v>수속성, 적중시 4초간 동결</v>
      </c>
      <c r="M269" t="str">
        <f>VLOOKUP($B269&amp;3&amp;F269,Sheet3!$A$2:$E$221,5,0)</f>
        <v>세방향으로 범위 증가. 단일대상 중복 히트 불가</v>
      </c>
      <c r="N269" s="10">
        <v>23.149000000000001</v>
      </c>
      <c r="O269" s="10">
        <v>25.213999999999999</v>
      </c>
    </row>
    <row r="270" spans="1:15">
      <c r="A270" t="str">
        <f t="shared" si="8"/>
        <v>폭쇄10322</v>
      </c>
      <c r="B270" s="16" t="s">
        <v>13</v>
      </c>
      <c r="C270" s="16">
        <v>10</v>
      </c>
      <c r="D270" s="16">
        <v>3</v>
      </c>
      <c r="E270" s="16">
        <v>2</v>
      </c>
      <c r="F270" s="16">
        <v>2</v>
      </c>
      <c r="G270" s="1">
        <f ca="1">SUMPRODUCT((Master!$A$2:$A$57=$B270)*(Master!$G$2:$G$57+공격력),(Master!$A$2:$A$57=$B270)*Master!$H$2:$H$57,(Master!$A$2:$A$57=$B270)*Master!$D$2:$D$57,(Master!$A$2:$A$57=$B270)*OFFSET(Master!$I$2:$I$57,0,D270-1),(Master!$A$2:$A$57=$B270)*OFFSET(Master!$L$2:$L$57,0,E270-1),(Master!$A$2:$A$57=$B270)*OFFSET(Master!$O$2:$O$57,0,F270-1))</f>
        <v>22084.768463863522</v>
      </c>
      <c r="H270" s="7">
        <f t="shared" si="9"/>
        <v>3.0500000000000043</v>
      </c>
      <c r="I270" s="79">
        <v>-200</v>
      </c>
      <c r="J270" s="78">
        <v>473</v>
      </c>
      <c r="K270" t="str">
        <f>VLOOKUP($B270&amp;1&amp;D270,Sheet3!$A$2:$E$221,5,0)</f>
        <v>적중된 적의 수x3%만큼 공격력 증가. 최대 10중첩, 단일대상에게 중복적용</v>
      </c>
      <c r="L270" t="str">
        <f>VLOOKUP($B270&amp;2&amp;E270,Sheet3!$A$2:$E$221,5,0)</f>
        <v>수속성, 적중시 4초간 동결</v>
      </c>
      <c r="M270" t="str">
        <f>VLOOKUP($B270&amp;3&amp;F270,Sheet3!$A$2:$E$221,5,0)</f>
        <v>-</v>
      </c>
      <c r="N270" s="10">
        <v>40.780999999999999</v>
      </c>
      <c r="O270" s="10">
        <v>43.831000000000003</v>
      </c>
    </row>
    <row r="271" spans="1:15">
      <c r="A271" t="str">
        <f t="shared" si="8"/>
        <v>폭쇄10331</v>
      </c>
      <c r="B271" s="16" t="s">
        <v>13</v>
      </c>
      <c r="C271" s="16">
        <v>10</v>
      </c>
      <c r="D271" s="16">
        <v>3</v>
      </c>
      <c r="E271" s="16">
        <v>3</v>
      </c>
      <c r="F271" s="16">
        <v>1</v>
      </c>
      <c r="G271" s="1">
        <f ca="1">SUMPRODUCT((Master!$A$2:$A$57=$B271)*(Master!$G$2:$G$57+공격력),(Master!$A$2:$A$57=$B271)*Master!$H$2:$H$57,(Master!$A$2:$A$57=$B271)*Master!$D$2:$D$57,(Master!$A$2:$A$57=$B271)*OFFSET(Master!$I$2:$I$57,0,D271-1),(Master!$A$2:$A$57=$B271)*OFFSET(Master!$L$2:$L$57,0,E271-1),(Master!$A$2:$A$57=$B271)*OFFSET(Master!$O$2:$O$57,0,F271-1))</f>
        <v>17161.23605642857</v>
      </c>
      <c r="H271" s="7">
        <f t="shared" si="9"/>
        <v>2.0649999999999977</v>
      </c>
      <c r="I271" s="79">
        <v>-200</v>
      </c>
      <c r="J271" s="78">
        <v>494</v>
      </c>
      <c r="K271" t="str">
        <f>VLOOKUP($B271&amp;1&amp;D271,Sheet3!$A$2:$E$221,5,0)</f>
        <v>적중된 적의 수x3%만큼 공격력 증가. 최대 10중첩, 단일대상에게 중복적용</v>
      </c>
      <c r="L271" t="str">
        <f>VLOOKUP($B271&amp;2&amp;E271,Sheet3!$A$2:$E$221,5,0)</f>
        <v>화속성, 적중시 화상. 최대 6중첩(중첩당 기본데미지의 10% 추정)</v>
      </c>
      <c r="M271" t="str">
        <f>VLOOKUP($B271&amp;3&amp;F271,Sheet3!$A$2:$E$221,5,0)</f>
        <v>세방향으로 범위 증가. 단일대상 중복 히트 불가</v>
      </c>
      <c r="N271" s="10">
        <v>23.149000000000001</v>
      </c>
      <c r="O271" s="10">
        <v>25.213999999999999</v>
      </c>
    </row>
    <row r="272" spans="1:15">
      <c r="A272" t="str">
        <f t="shared" si="8"/>
        <v>폭쇄10332</v>
      </c>
      <c r="B272" s="16" t="s">
        <v>13</v>
      </c>
      <c r="C272" s="16">
        <v>10</v>
      </c>
      <c r="D272" s="16">
        <v>3</v>
      </c>
      <c r="E272" s="16">
        <v>3</v>
      </c>
      <c r="F272" s="16">
        <v>2</v>
      </c>
      <c r="G272" s="1">
        <f ca="1">SUMPRODUCT((Master!$A$2:$A$57=$B272)*(Master!$G$2:$G$57+공격력),(Master!$A$2:$A$57=$B272)*Master!$H$2:$H$57,(Master!$A$2:$A$57=$B272)*Master!$D$2:$D$57,(Master!$A$2:$A$57=$B272)*OFFSET(Master!$I$2:$I$57,0,D272-1),(Master!$A$2:$A$57=$B272)*OFFSET(Master!$L$2:$L$57,0,E272-1),(Master!$A$2:$A$57=$B272)*OFFSET(Master!$O$2:$O$57,0,F272-1))</f>
        <v>22084.768463863522</v>
      </c>
      <c r="H272" s="7">
        <f t="shared" si="9"/>
        <v>3.0500000000000043</v>
      </c>
      <c r="I272" s="79">
        <v>-200</v>
      </c>
      <c r="J272" s="78">
        <v>473</v>
      </c>
      <c r="K272" t="str">
        <f>VLOOKUP($B272&amp;1&amp;D272,Sheet3!$A$2:$E$221,5,0)</f>
        <v>적중된 적의 수x3%만큼 공격력 증가. 최대 10중첩, 단일대상에게 중복적용</v>
      </c>
      <c r="L272" t="str">
        <f>VLOOKUP($B272&amp;2&amp;E272,Sheet3!$A$2:$E$221,5,0)</f>
        <v>화속성, 적중시 화상. 최대 6중첩(중첩당 기본데미지의 10% 추정)</v>
      </c>
      <c r="M272" t="str">
        <f>VLOOKUP($B272&amp;3&amp;F272,Sheet3!$A$2:$E$221,5,0)</f>
        <v>-</v>
      </c>
      <c r="N272" s="10">
        <v>40.780999999999999</v>
      </c>
      <c r="O272" s="10">
        <v>43.831000000000003</v>
      </c>
    </row>
    <row r="273" spans="1:15" s="10" customFormat="1">
      <c r="A273" s="10" t="str">
        <f t="shared" si="8"/>
        <v>풍신10111</v>
      </c>
      <c r="B273" s="11" t="s">
        <v>12</v>
      </c>
      <c r="C273" s="11">
        <v>10</v>
      </c>
      <c r="D273" s="11">
        <v>1</v>
      </c>
      <c r="E273" s="11">
        <v>1</v>
      </c>
      <c r="F273" s="11">
        <v>1</v>
      </c>
      <c r="G273" s="76">
        <f ca="1">SUMPRODUCT((Master!$A$2:$A$57=$B273)*(Master!$G$2:$G$57+공격력),(Master!$A$2:$A$57=$B273)*Master!$H$2:$H$57,(Master!$A$2:$A$57=$B273)*Master!$D$2:$D$57,(Master!$A$2:$A$57=$B273)*OFFSET(Master!$I$2:$I$57,0,D273-1),(Master!$A$2:$A$57=$B273)*OFFSET(Master!$L$2:$L$57,0,E273-1),(Master!$A$2:$A$57=$B273)*OFFSET(Master!$O$2:$O$57,0,F273-1))</f>
        <v>807</v>
      </c>
      <c r="H273" s="7">
        <f t="shared" si="9"/>
        <v>2.0479999999999983</v>
      </c>
      <c r="I273" s="80">
        <v>-200</v>
      </c>
      <c r="J273" s="77">
        <v>461</v>
      </c>
      <c r="K273" s="10" t="str">
        <f>VLOOKUP($B273&amp;1&amp;D273,Sheet3!$A$2:$E$221,5,0)</f>
        <v>토속성, 당기는효과 사라지고 시드이하 30% 추뎀</v>
      </c>
      <c r="L273" s="10" t="str">
        <f>VLOOKUP($B273&amp;2&amp;E273,Sheet3!$A$2:$E$221,5,0)</f>
        <v>매 틱마다 피해량이 5%씩 증가해 최대 60%까지 증가</v>
      </c>
      <c r="M273" s="10" t="str">
        <f>VLOOKUP($B273&amp;3&amp;F273,Sheet3!$A$2:$E$221,5,0)</f>
        <v>일반스킬로 변경, 제자리에서 4초간 유지</v>
      </c>
      <c r="N273">
        <v>16.067</v>
      </c>
      <c r="O273" s="10">
        <v>18.114999999999998</v>
      </c>
    </row>
    <row r="274" spans="1:15" s="10" customFormat="1">
      <c r="A274" s="10" t="str">
        <f t="shared" si="8"/>
        <v>풍신10112</v>
      </c>
      <c r="B274" s="11" t="s">
        <v>12</v>
      </c>
      <c r="C274" s="11">
        <v>10</v>
      </c>
      <c r="D274" s="11">
        <v>1</v>
      </c>
      <c r="E274" s="11">
        <v>1</v>
      </c>
      <c r="F274" s="11">
        <v>2</v>
      </c>
      <c r="G274" s="76">
        <f ca="1">SUMPRODUCT((Master!$A$2:$A$57=$B274)*(Master!$G$2:$G$57+공격력),(Master!$A$2:$A$57=$B274)*Master!$H$2:$H$57,(Master!$A$2:$A$57=$B274)*Master!$D$2:$D$57,(Master!$A$2:$A$57=$B274)*OFFSET(Master!$I$2:$I$57,0,D274-1),(Master!$A$2:$A$57=$B274)*OFFSET(Master!$L$2:$L$57,0,E274-1),(Master!$A$2:$A$57=$B274)*OFFSET(Master!$O$2:$O$57,0,F274-1))</f>
        <v>807</v>
      </c>
      <c r="H274" s="7">
        <f t="shared" si="9"/>
        <v>5.0499999999999972</v>
      </c>
      <c r="I274" s="80">
        <v>-200</v>
      </c>
      <c r="J274" s="77">
        <v>417</v>
      </c>
      <c r="K274" s="10" t="str">
        <f>VLOOKUP($B274&amp;1&amp;D274,Sheet3!$A$2:$E$221,5,0)</f>
        <v>토속성, 당기는효과 사라지고 시드이하 30% 추뎀</v>
      </c>
      <c r="L274" s="10" t="str">
        <f>VLOOKUP($B274&amp;2&amp;E274,Sheet3!$A$2:$E$221,5,0)</f>
        <v>매 틱마다 피해량이 5%씩 증가해 최대 60%까지 증가</v>
      </c>
      <c r="M274" s="10" t="str">
        <f>VLOOKUP($B274&amp;3&amp;F274,Sheet3!$A$2:$E$221,5,0)</f>
        <v>회오리 흩어질때 기본스킬 피해의 60% 피해</v>
      </c>
      <c r="N274" s="10">
        <v>35.731000000000002</v>
      </c>
      <c r="O274" s="10">
        <v>40.780999999999999</v>
      </c>
    </row>
    <row r="275" spans="1:15" s="10" customFormat="1">
      <c r="A275" s="10" t="str">
        <f t="shared" si="8"/>
        <v>풍신10121</v>
      </c>
      <c r="B275" s="11" t="s">
        <v>12</v>
      </c>
      <c r="C275" s="11">
        <v>10</v>
      </c>
      <c r="D275" s="11">
        <v>1</v>
      </c>
      <c r="E275" s="11">
        <v>2</v>
      </c>
      <c r="F275" s="11">
        <v>1</v>
      </c>
      <c r="G275" s="76">
        <f ca="1">SUMPRODUCT((Master!$A$2:$A$57=$B275)*(Master!$G$2:$G$57+공격력),(Master!$A$2:$A$57=$B275)*Master!$H$2:$H$57,(Master!$A$2:$A$57=$B275)*Master!$D$2:$D$57,(Master!$A$2:$A$57=$B275)*OFFSET(Master!$I$2:$I$57,0,D275-1),(Master!$A$2:$A$57=$B275)*OFFSET(Master!$L$2:$L$57,0,E275-1),(Master!$A$2:$A$57=$B275)*OFFSET(Master!$O$2:$O$57,0,F275-1))</f>
        <v>807</v>
      </c>
      <c r="H275" s="7">
        <f t="shared" si="9"/>
        <v>2.0479999999999983</v>
      </c>
      <c r="I275" s="80">
        <v>-200</v>
      </c>
      <c r="J275" s="77">
        <v>461</v>
      </c>
      <c r="K275" s="10" t="str">
        <f>VLOOKUP($B275&amp;1&amp;D275,Sheet3!$A$2:$E$221,5,0)</f>
        <v>토속성, 당기는효과 사라지고 시드이하 30% 추뎀</v>
      </c>
      <c r="L275" s="10" t="str">
        <f>VLOOKUP($B275&amp;2&amp;E275,Sheet3!$A$2:$E$221,5,0)</f>
        <v>공격범위증가 30%</v>
      </c>
      <c r="M275" s="10" t="str">
        <f>VLOOKUP($B275&amp;3&amp;F275,Sheet3!$A$2:$E$221,5,0)</f>
        <v>일반스킬로 변경, 제자리에서 4초간 유지</v>
      </c>
      <c r="N275">
        <v>16.067</v>
      </c>
      <c r="O275" s="10">
        <v>18.114999999999998</v>
      </c>
    </row>
    <row r="276" spans="1:15" s="10" customFormat="1">
      <c r="A276" s="10" t="str">
        <f t="shared" si="8"/>
        <v>풍신10122</v>
      </c>
      <c r="B276" s="11" t="s">
        <v>12</v>
      </c>
      <c r="C276" s="11">
        <v>10</v>
      </c>
      <c r="D276" s="11">
        <v>1</v>
      </c>
      <c r="E276" s="11">
        <v>2</v>
      </c>
      <c r="F276" s="11">
        <v>2</v>
      </c>
      <c r="G276" s="76">
        <f ca="1">SUMPRODUCT((Master!$A$2:$A$57=$B276)*(Master!$G$2:$G$57+공격력),(Master!$A$2:$A$57=$B276)*Master!$H$2:$H$57,(Master!$A$2:$A$57=$B276)*Master!$D$2:$D$57,(Master!$A$2:$A$57=$B276)*OFFSET(Master!$I$2:$I$57,0,D276-1),(Master!$A$2:$A$57=$B276)*OFFSET(Master!$L$2:$L$57,0,E276-1),(Master!$A$2:$A$57=$B276)*OFFSET(Master!$O$2:$O$57,0,F276-1))</f>
        <v>807</v>
      </c>
      <c r="H276" s="7">
        <f t="shared" si="9"/>
        <v>5.0499999999999972</v>
      </c>
      <c r="I276" s="80">
        <v>-200</v>
      </c>
      <c r="J276" s="77">
        <v>417</v>
      </c>
      <c r="K276" s="10" t="str">
        <f>VLOOKUP($B276&amp;1&amp;D276,Sheet3!$A$2:$E$221,5,0)</f>
        <v>토속성, 당기는효과 사라지고 시드이하 30% 추뎀</v>
      </c>
      <c r="L276" s="10" t="str">
        <f>VLOOKUP($B276&amp;2&amp;E276,Sheet3!$A$2:$E$221,5,0)</f>
        <v>공격범위증가 30%</v>
      </c>
      <c r="M276" s="10" t="str">
        <f>VLOOKUP($B276&amp;3&amp;F276,Sheet3!$A$2:$E$221,5,0)</f>
        <v>회오리 흩어질때 기본스킬 피해의 60% 피해</v>
      </c>
      <c r="N276" s="10">
        <v>35.731000000000002</v>
      </c>
      <c r="O276" s="10">
        <v>40.780999999999999</v>
      </c>
    </row>
    <row r="277" spans="1:15" s="10" customFormat="1">
      <c r="A277" s="10" t="str">
        <f t="shared" si="8"/>
        <v>풍신10131</v>
      </c>
      <c r="B277" s="11" t="s">
        <v>12</v>
      </c>
      <c r="C277" s="11">
        <v>10</v>
      </c>
      <c r="D277" s="11">
        <v>1</v>
      </c>
      <c r="E277" s="11">
        <v>3</v>
      </c>
      <c r="F277" s="11">
        <v>1</v>
      </c>
      <c r="G277" s="76">
        <f ca="1">SUMPRODUCT((Master!$A$2:$A$57=$B277)*(Master!$G$2:$G$57+공격력),(Master!$A$2:$A$57=$B277)*Master!$H$2:$H$57,(Master!$A$2:$A$57=$B277)*Master!$D$2:$D$57,(Master!$A$2:$A$57=$B277)*OFFSET(Master!$I$2:$I$57,0,D277-1),(Master!$A$2:$A$57=$B277)*OFFSET(Master!$L$2:$L$57,0,E277-1),(Master!$A$2:$A$57=$B277)*OFFSET(Master!$O$2:$O$57,0,F277-1))</f>
        <v>807</v>
      </c>
      <c r="H277" s="7">
        <f t="shared" si="9"/>
        <v>2.0479999999999983</v>
      </c>
      <c r="I277" s="80">
        <v>-200</v>
      </c>
      <c r="J277" s="77">
        <v>440</v>
      </c>
      <c r="K277" s="10" t="str">
        <f>VLOOKUP($B277&amp;1&amp;D277,Sheet3!$A$2:$E$221,5,0)</f>
        <v>토속성, 당기는효과 사라지고 시드이하 30% 추뎀</v>
      </c>
      <c r="L277" s="10" t="str">
        <f>VLOOKUP($B277&amp;2&amp;E277,Sheet3!$A$2:$E$221,5,0)</f>
        <v>이속 13% 증가, 지속 시간 1초(4틱) 증가</v>
      </c>
      <c r="M277" s="10" t="str">
        <f>VLOOKUP($B277&amp;3&amp;F277,Sheet3!$A$2:$E$221,5,0)</f>
        <v>일반스킬로 변경, 제자리에서 4초간 유지</v>
      </c>
      <c r="N277">
        <v>16.067</v>
      </c>
      <c r="O277" s="10">
        <v>18.114999999999998</v>
      </c>
    </row>
    <row r="278" spans="1:15" s="10" customFormat="1">
      <c r="A278" s="10" t="str">
        <f t="shared" si="8"/>
        <v>풍신10132</v>
      </c>
      <c r="B278" s="11" t="s">
        <v>12</v>
      </c>
      <c r="C278" s="11">
        <v>10</v>
      </c>
      <c r="D278" s="11">
        <v>1</v>
      </c>
      <c r="E278" s="11">
        <v>3</v>
      </c>
      <c r="F278" s="11">
        <v>2</v>
      </c>
      <c r="G278" s="76">
        <f ca="1">SUMPRODUCT((Master!$A$2:$A$57=$B278)*(Master!$G$2:$G$57+공격력),(Master!$A$2:$A$57=$B278)*Master!$H$2:$H$57,(Master!$A$2:$A$57=$B278)*Master!$D$2:$D$57,(Master!$A$2:$A$57=$B278)*OFFSET(Master!$I$2:$I$57,0,D278-1),(Master!$A$2:$A$57=$B278)*OFFSET(Master!$L$2:$L$57,0,E278-1),(Master!$A$2:$A$57=$B278)*OFFSET(Master!$O$2:$O$57,0,F278-1))</f>
        <v>807</v>
      </c>
      <c r="H278" s="7">
        <f t="shared" si="9"/>
        <v>6.0510000000000019</v>
      </c>
      <c r="I278" s="80">
        <v>-200</v>
      </c>
      <c r="J278" s="77">
        <v>396</v>
      </c>
      <c r="K278" s="10" t="str">
        <f>VLOOKUP($B278&amp;1&amp;D278,Sheet3!$A$2:$E$221,5,0)</f>
        <v>토속성, 당기는효과 사라지고 시드이하 30% 추뎀</v>
      </c>
      <c r="L278" s="10" t="str">
        <f>VLOOKUP($B278&amp;2&amp;E278,Sheet3!$A$2:$E$221,5,0)</f>
        <v>이속 13% 증가, 지속 시간 1초(4틱) 증가</v>
      </c>
      <c r="M278" s="10" t="str">
        <f>VLOOKUP($B278&amp;3&amp;F278,Sheet3!$A$2:$E$221,5,0)</f>
        <v>회오리 흩어질때 기본스킬 피해의 60% 피해</v>
      </c>
      <c r="N278" s="10">
        <v>32.631</v>
      </c>
      <c r="O278" s="10">
        <v>38.682000000000002</v>
      </c>
    </row>
    <row r="279" spans="1:15" s="10" customFormat="1">
      <c r="A279" s="10" t="str">
        <f t="shared" si="8"/>
        <v>풍신10211</v>
      </c>
      <c r="B279" s="11" t="s">
        <v>12</v>
      </c>
      <c r="C279" s="11">
        <v>10</v>
      </c>
      <c r="D279" s="11">
        <v>2</v>
      </c>
      <c r="E279" s="11">
        <v>1</v>
      </c>
      <c r="F279" s="11">
        <v>1</v>
      </c>
      <c r="G279" s="76">
        <f ca="1">SUMPRODUCT((Master!$A$2:$A$57=$B279)*(Master!$G$2:$G$57+공격력),(Master!$A$2:$A$57=$B279)*Master!$H$2:$H$57,(Master!$A$2:$A$57=$B279)*Master!$D$2:$D$57,(Master!$A$2:$A$57=$B279)*OFFSET(Master!$I$2:$I$57,0,D279-1),(Master!$A$2:$A$57=$B279)*OFFSET(Master!$L$2:$L$57,0,E279-1),(Master!$A$2:$A$57=$B279)*OFFSET(Master!$O$2:$O$57,0,F279-1))</f>
        <v>807</v>
      </c>
      <c r="H279" s="7">
        <f t="shared" si="9"/>
        <v>2.0479999999999983</v>
      </c>
      <c r="I279" s="80">
        <v>-200</v>
      </c>
      <c r="J279" s="77">
        <v>461</v>
      </c>
      <c r="K279" s="10" t="str">
        <f>VLOOKUP($B279&amp;1&amp;D279,Sheet3!$A$2:$E$221,5,0)</f>
        <v>수속성, 5회중첩시 2초간 동결</v>
      </c>
      <c r="L279" s="10" t="str">
        <f>VLOOKUP($B279&amp;2&amp;E279,Sheet3!$A$2:$E$221,5,0)</f>
        <v>매 틱마다 피해량이 5%씩 증가해 최대 60%까지 증가</v>
      </c>
      <c r="M279" s="10" t="str">
        <f>VLOOKUP($B279&amp;3&amp;F279,Sheet3!$A$2:$E$221,5,0)</f>
        <v>일반스킬로 변경, 제자리에서 4초간 유지</v>
      </c>
      <c r="N279">
        <v>16.067</v>
      </c>
      <c r="O279" s="10">
        <v>18.114999999999998</v>
      </c>
    </row>
    <row r="280" spans="1:15" s="10" customFormat="1">
      <c r="A280" s="10" t="str">
        <f t="shared" si="8"/>
        <v>풍신10212</v>
      </c>
      <c r="B280" s="11" t="s">
        <v>12</v>
      </c>
      <c r="C280" s="11">
        <v>10</v>
      </c>
      <c r="D280" s="11">
        <v>2</v>
      </c>
      <c r="E280" s="11">
        <v>1</v>
      </c>
      <c r="F280" s="11">
        <v>2</v>
      </c>
      <c r="G280" s="76">
        <f ca="1">SUMPRODUCT((Master!$A$2:$A$57=$B280)*(Master!$G$2:$G$57+공격력),(Master!$A$2:$A$57=$B280)*Master!$H$2:$H$57,(Master!$A$2:$A$57=$B280)*Master!$D$2:$D$57,(Master!$A$2:$A$57=$B280)*OFFSET(Master!$I$2:$I$57,0,D280-1),(Master!$A$2:$A$57=$B280)*OFFSET(Master!$L$2:$L$57,0,E280-1),(Master!$A$2:$A$57=$B280)*OFFSET(Master!$O$2:$O$57,0,F280-1))</f>
        <v>807</v>
      </c>
      <c r="H280" s="7">
        <f t="shared" si="9"/>
        <v>5.0499999999999972</v>
      </c>
      <c r="I280" s="80">
        <v>-200</v>
      </c>
      <c r="J280" s="77">
        <v>417</v>
      </c>
      <c r="K280" s="10" t="str">
        <f>VLOOKUP($B280&amp;1&amp;D280,Sheet3!$A$2:$E$221,5,0)</f>
        <v>수속성, 5회중첩시 2초간 동결</v>
      </c>
      <c r="L280" s="10" t="str">
        <f>VLOOKUP($B280&amp;2&amp;E280,Sheet3!$A$2:$E$221,5,0)</f>
        <v>매 틱마다 피해량이 5%씩 증가해 최대 60%까지 증가</v>
      </c>
      <c r="M280" s="10" t="str">
        <f>VLOOKUP($B280&amp;3&amp;F280,Sheet3!$A$2:$E$221,5,0)</f>
        <v>회오리 흩어질때 기본스킬 피해의 60% 피해</v>
      </c>
      <c r="N280" s="10">
        <v>35.731000000000002</v>
      </c>
      <c r="O280" s="10">
        <v>40.780999999999999</v>
      </c>
    </row>
    <row r="281" spans="1:15" s="10" customFormat="1">
      <c r="A281" s="10" t="str">
        <f t="shared" si="8"/>
        <v>풍신10221</v>
      </c>
      <c r="B281" s="11" t="s">
        <v>12</v>
      </c>
      <c r="C281" s="11">
        <v>10</v>
      </c>
      <c r="D281" s="11">
        <v>2</v>
      </c>
      <c r="E281" s="11">
        <v>2</v>
      </c>
      <c r="F281" s="11">
        <v>1</v>
      </c>
      <c r="G281" s="76">
        <f ca="1">SUMPRODUCT((Master!$A$2:$A$57=$B281)*(Master!$G$2:$G$57+공격력),(Master!$A$2:$A$57=$B281)*Master!$H$2:$H$57,(Master!$A$2:$A$57=$B281)*Master!$D$2:$D$57,(Master!$A$2:$A$57=$B281)*OFFSET(Master!$I$2:$I$57,0,D281-1),(Master!$A$2:$A$57=$B281)*OFFSET(Master!$L$2:$L$57,0,E281-1),(Master!$A$2:$A$57=$B281)*OFFSET(Master!$O$2:$O$57,0,F281-1))</f>
        <v>807</v>
      </c>
      <c r="H281" s="7">
        <f t="shared" si="9"/>
        <v>2.0479999999999983</v>
      </c>
      <c r="I281" s="80">
        <v>-200</v>
      </c>
      <c r="J281" s="77">
        <v>461</v>
      </c>
      <c r="K281" s="10" t="str">
        <f>VLOOKUP($B281&amp;1&amp;D281,Sheet3!$A$2:$E$221,5,0)</f>
        <v>수속성, 5회중첩시 2초간 동결</v>
      </c>
      <c r="L281" s="10" t="str">
        <f>VLOOKUP($B281&amp;2&amp;E281,Sheet3!$A$2:$E$221,5,0)</f>
        <v>공격범위증가 30%</v>
      </c>
      <c r="M281" s="10" t="str">
        <f>VLOOKUP($B281&amp;3&amp;F281,Sheet3!$A$2:$E$221,5,0)</f>
        <v>일반스킬로 변경, 제자리에서 4초간 유지</v>
      </c>
      <c r="N281">
        <v>16.067</v>
      </c>
      <c r="O281" s="10">
        <v>18.114999999999998</v>
      </c>
    </row>
    <row r="282" spans="1:15" s="10" customFormat="1">
      <c r="A282" s="10" t="str">
        <f t="shared" si="8"/>
        <v>풍신10222</v>
      </c>
      <c r="B282" s="11" t="s">
        <v>12</v>
      </c>
      <c r="C282" s="11">
        <v>10</v>
      </c>
      <c r="D282" s="11">
        <v>2</v>
      </c>
      <c r="E282" s="11">
        <v>2</v>
      </c>
      <c r="F282" s="11">
        <v>2</v>
      </c>
      <c r="G282" s="76">
        <f ca="1">SUMPRODUCT((Master!$A$2:$A$57=$B282)*(Master!$G$2:$G$57+공격력),(Master!$A$2:$A$57=$B282)*Master!$H$2:$H$57,(Master!$A$2:$A$57=$B282)*Master!$D$2:$D$57,(Master!$A$2:$A$57=$B282)*OFFSET(Master!$I$2:$I$57,0,D282-1),(Master!$A$2:$A$57=$B282)*OFFSET(Master!$L$2:$L$57,0,E282-1),(Master!$A$2:$A$57=$B282)*OFFSET(Master!$O$2:$O$57,0,F282-1))</f>
        <v>807</v>
      </c>
      <c r="H282" s="7">
        <f t="shared" si="9"/>
        <v>5.0499999999999972</v>
      </c>
      <c r="I282" s="80">
        <v>-200</v>
      </c>
      <c r="J282" s="77">
        <v>417</v>
      </c>
      <c r="K282" s="10" t="str">
        <f>VLOOKUP($B282&amp;1&amp;D282,Sheet3!$A$2:$E$221,5,0)</f>
        <v>수속성, 5회중첩시 2초간 동결</v>
      </c>
      <c r="L282" s="10" t="str">
        <f>VLOOKUP($B282&amp;2&amp;E282,Sheet3!$A$2:$E$221,5,0)</f>
        <v>공격범위증가 30%</v>
      </c>
      <c r="M282" s="10" t="str">
        <f>VLOOKUP($B282&amp;3&amp;F282,Sheet3!$A$2:$E$221,5,0)</f>
        <v>회오리 흩어질때 기본스킬 피해의 60% 피해</v>
      </c>
      <c r="N282" s="10">
        <v>35.731000000000002</v>
      </c>
      <c r="O282" s="10">
        <v>40.780999999999999</v>
      </c>
    </row>
    <row r="283" spans="1:15" s="10" customFormat="1">
      <c r="A283" s="10" t="str">
        <f t="shared" si="8"/>
        <v>풍신10231</v>
      </c>
      <c r="B283" s="11" t="s">
        <v>12</v>
      </c>
      <c r="C283" s="11">
        <v>10</v>
      </c>
      <c r="D283" s="11">
        <v>2</v>
      </c>
      <c r="E283" s="11">
        <v>3</v>
      </c>
      <c r="F283" s="11">
        <v>1</v>
      </c>
      <c r="G283" s="76">
        <f ca="1">SUMPRODUCT((Master!$A$2:$A$57=$B283)*(Master!$G$2:$G$57+공격력),(Master!$A$2:$A$57=$B283)*Master!$H$2:$H$57,(Master!$A$2:$A$57=$B283)*Master!$D$2:$D$57,(Master!$A$2:$A$57=$B283)*OFFSET(Master!$I$2:$I$57,0,D283-1),(Master!$A$2:$A$57=$B283)*OFFSET(Master!$L$2:$L$57,0,E283-1),(Master!$A$2:$A$57=$B283)*OFFSET(Master!$O$2:$O$57,0,F283-1))</f>
        <v>807</v>
      </c>
      <c r="H283" s="7">
        <f t="shared" si="9"/>
        <v>2.0479999999999983</v>
      </c>
      <c r="I283" s="80">
        <v>-200</v>
      </c>
      <c r="J283" s="77">
        <v>440</v>
      </c>
      <c r="K283" s="10" t="str">
        <f>VLOOKUP($B283&amp;1&amp;D283,Sheet3!$A$2:$E$221,5,0)</f>
        <v>수속성, 5회중첩시 2초간 동결</v>
      </c>
      <c r="L283" s="10" t="str">
        <f>VLOOKUP($B283&amp;2&amp;E283,Sheet3!$A$2:$E$221,5,0)</f>
        <v>이속 13% 증가, 지속 시간 1초(4틱) 증가</v>
      </c>
      <c r="M283" s="10" t="str">
        <f>VLOOKUP($B283&amp;3&amp;F283,Sheet3!$A$2:$E$221,5,0)</f>
        <v>일반스킬로 변경, 제자리에서 4초간 유지</v>
      </c>
      <c r="N283">
        <v>16.067</v>
      </c>
      <c r="O283" s="10">
        <v>18.114999999999998</v>
      </c>
    </row>
    <row r="284" spans="1:15" s="10" customFormat="1">
      <c r="A284" s="10" t="str">
        <f t="shared" si="8"/>
        <v>풍신10232</v>
      </c>
      <c r="B284" s="11" t="s">
        <v>12</v>
      </c>
      <c r="C284" s="11">
        <v>10</v>
      </c>
      <c r="D284" s="11">
        <v>2</v>
      </c>
      <c r="E284" s="11">
        <v>3</v>
      </c>
      <c r="F284" s="11">
        <v>2</v>
      </c>
      <c r="G284" s="76">
        <f ca="1">SUMPRODUCT((Master!$A$2:$A$57=$B284)*(Master!$G$2:$G$57+공격력),(Master!$A$2:$A$57=$B284)*Master!$H$2:$H$57,(Master!$A$2:$A$57=$B284)*Master!$D$2:$D$57,(Master!$A$2:$A$57=$B284)*OFFSET(Master!$I$2:$I$57,0,D284-1),(Master!$A$2:$A$57=$B284)*OFFSET(Master!$L$2:$L$57,0,E284-1),(Master!$A$2:$A$57=$B284)*OFFSET(Master!$O$2:$O$57,0,F284-1))</f>
        <v>807</v>
      </c>
      <c r="H284" s="7">
        <f t="shared" si="9"/>
        <v>6.0510000000000019</v>
      </c>
      <c r="I284" s="80">
        <v>-200</v>
      </c>
      <c r="J284" s="77">
        <v>396</v>
      </c>
      <c r="K284" s="10" t="str">
        <f>VLOOKUP($B284&amp;1&amp;D284,Sheet3!$A$2:$E$221,5,0)</f>
        <v>수속성, 5회중첩시 2초간 동결</v>
      </c>
      <c r="L284" s="10" t="str">
        <f>VLOOKUP($B284&amp;2&amp;E284,Sheet3!$A$2:$E$221,5,0)</f>
        <v>이속 13% 증가, 지속 시간 1초(4틱) 증가</v>
      </c>
      <c r="M284" s="10" t="str">
        <f>VLOOKUP($B284&amp;3&amp;F284,Sheet3!$A$2:$E$221,5,0)</f>
        <v>회오리 흩어질때 기본스킬 피해의 60% 피해</v>
      </c>
      <c r="N284" s="10">
        <v>32.631</v>
      </c>
      <c r="O284" s="10">
        <v>38.682000000000002</v>
      </c>
    </row>
    <row r="285" spans="1:15" s="10" customFormat="1">
      <c r="A285" s="10" t="str">
        <f t="shared" si="8"/>
        <v>풍신10311</v>
      </c>
      <c r="B285" s="11" t="s">
        <v>12</v>
      </c>
      <c r="C285" s="11">
        <v>10</v>
      </c>
      <c r="D285" s="11">
        <v>3</v>
      </c>
      <c r="E285" s="11">
        <v>1</v>
      </c>
      <c r="F285" s="11">
        <v>1</v>
      </c>
      <c r="G285" s="76">
        <f ca="1">SUMPRODUCT((Master!$A$2:$A$57=$B285)*(Master!$G$2:$G$57+공격력),(Master!$A$2:$A$57=$B285)*Master!$H$2:$H$57,(Master!$A$2:$A$57=$B285)*Master!$D$2:$D$57,(Master!$A$2:$A$57=$B285)*OFFSET(Master!$I$2:$I$57,0,D285-1),(Master!$A$2:$A$57=$B285)*OFFSET(Master!$L$2:$L$57,0,E285-1),(Master!$A$2:$A$57=$B285)*OFFSET(Master!$O$2:$O$57,0,F285-1))</f>
        <v>807</v>
      </c>
      <c r="H285" s="7">
        <f t="shared" si="9"/>
        <v>2.0479999999999983</v>
      </c>
      <c r="I285" s="80">
        <v>-200</v>
      </c>
      <c r="J285" s="77">
        <v>461</v>
      </c>
      <c r="K285" s="10" t="str">
        <f>VLOOKUP($B285&amp;1&amp;D285,Sheet3!$A$2:$E$221,5,0)</f>
        <v>뇌속성, 치명타피해 10%증가, 치명확률 30%증가 (불확실)</v>
      </c>
      <c r="L285" s="10" t="str">
        <f>VLOOKUP($B285&amp;2&amp;E285,Sheet3!$A$2:$E$221,5,0)</f>
        <v>매 틱마다 피해량이 5%씩 증가해 최대 60%까지 증가</v>
      </c>
      <c r="M285" s="10" t="str">
        <f>VLOOKUP($B285&amp;3&amp;F285,Sheet3!$A$2:$E$221,5,0)</f>
        <v>일반스킬로 변경, 제자리에서 4초간 유지</v>
      </c>
      <c r="N285">
        <v>16.067</v>
      </c>
      <c r="O285" s="10">
        <v>18.114999999999998</v>
      </c>
    </row>
    <row r="286" spans="1:15" s="10" customFormat="1">
      <c r="A286" s="10" t="str">
        <f t="shared" si="8"/>
        <v>풍신10312</v>
      </c>
      <c r="B286" s="11" t="s">
        <v>12</v>
      </c>
      <c r="C286" s="11">
        <v>10</v>
      </c>
      <c r="D286" s="11">
        <v>3</v>
      </c>
      <c r="E286" s="11">
        <v>1</v>
      </c>
      <c r="F286" s="11">
        <v>2</v>
      </c>
      <c r="G286" s="76">
        <f ca="1">SUMPRODUCT((Master!$A$2:$A$57=$B286)*(Master!$G$2:$G$57+공격력),(Master!$A$2:$A$57=$B286)*Master!$H$2:$H$57,(Master!$A$2:$A$57=$B286)*Master!$D$2:$D$57,(Master!$A$2:$A$57=$B286)*OFFSET(Master!$I$2:$I$57,0,D286-1),(Master!$A$2:$A$57=$B286)*OFFSET(Master!$L$2:$L$57,0,E286-1),(Master!$A$2:$A$57=$B286)*OFFSET(Master!$O$2:$O$57,0,F286-1))</f>
        <v>807</v>
      </c>
      <c r="H286" s="7">
        <f t="shared" si="9"/>
        <v>5.0499999999999972</v>
      </c>
      <c r="I286" s="80">
        <v>-200</v>
      </c>
      <c r="J286" s="77">
        <v>417</v>
      </c>
      <c r="K286" s="10" t="str">
        <f>VLOOKUP($B286&amp;1&amp;D286,Sheet3!$A$2:$E$221,5,0)</f>
        <v>뇌속성, 치명타피해 10%증가, 치명확률 30%증가 (불확실)</v>
      </c>
      <c r="L286" s="10" t="str">
        <f>VLOOKUP($B286&amp;2&amp;E286,Sheet3!$A$2:$E$221,5,0)</f>
        <v>매 틱마다 피해량이 5%씩 증가해 최대 60%까지 증가</v>
      </c>
      <c r="M286" s="10" t="str">
        <f>VLOOKUP($B286&amp;3&amp;F286,Sheet3!$A$2:$E$221,5,0)</f>
        <v>회오리 흩어질때 기본스킬 피해의 60% 피해</v>
      </c>
      <c r="N286" s="10">
        <v>35.731000000000002</v>
      </c>
      <c r="O286" s="10">
        <v>40.780999999999999</v>
      </c>
    </row>
    <row r="287" spans="1:15" s="10" customFormat="1">
      <c r="A287" s="10" t="str">
        <f t="shared" si="8"/>
        <v>풍신10321</v>
      </c>
      <c r="B287" s="11" t="s">
        <v>12</v>
      </c>
      <c r="C287" s="11">
        <v>10</v>
      </c>
      <c r="D287" s="11">
        <v>3</v>
      </c>
      <c r="E287" s="11">
        <v>2</v>
      </c>
      <c r="F287" s="11">
        <v>1</v>
      </c>
      <c r="G287" s="76">
        <f ca="1">SUMPRODUCT((Master!$A$2:$A$57=$B287)*(Master!$G$2:$G$57+공격력),(Master!$A$2:$A$57=$B287)*Master!$H$2:$H$57,(Master!$A$2:$A$57=$B287)*Master!$D$2:$D$57,(Master!$A$2:$A$57=$B287)*OFFSET(Master!$I$2:$I$57,0,D287-1),(Master!$A$2:$A$57=$B287)*OFFSET(Master!$L$2:$L$57,0,E287-1),(Master!$A$2:$A$57=$B287)*OFFSET(Master!$O$2:$O$57,0,F287-1))</f>
        <v>807</v>
      </c>
      <c r="H287" s="7">
        <f t="shared" si="9"/>
        <v>2.0479999999999983</v>
      </c>
      <c r="I287" s="80">
        <v>-200</v>
      </c>
      <c r="J287" s="77">
        <v>461</v>
      </c>
      <c r="K287" s="10" t="str">
        <f>VLOOKUP($B287&amp;1&amp;D287,Sheet3!$A$2:$E$221,5,0)</f>
        <v>뇌속성, 치명타피해 10%증가, 치명확률 30%증가 (불확실)</v>
      </c>
      <c r="L287" s="10" t="str">
        <f>VLOOKUP($B287&amp;2&amp;E287,Sheet3!$A$2:$E$221,5,0)</f>
        <v>공격범위증가 30%</v>
      </c>
      <c r="M287" s="10" t="str">
        <f>VLOOKUP($B287&amp;3&amp;F287,Sheet3!$A$2:$E$221,5,0)</f>
        <v>일반스킬로 변경, 제자리에서 4초간 유지</v>
      </c>
      <c r="N287">
        <v>16.067</v>
      </c>
      <c r="O287" s="10">
        <v>18.114999999999998</v>
      </c>
    </row>
    <row r="288" spans="1:15" s="10" customFormat="1">
      <c r="A288" s="10" t="str">
        <f t="shared" si="8"/>
        <v>풍신10322</v>
      </c>
      <c r="B288" s="11" t="s">
        <v>12</v>
      </c>
      <c r="C288" s="11">
        <v>10</v>
      </c>
      <c r="D288" s="11">
        <v>3</v>
      </c>
      <c r="E288" s="11">
        <v>2</v>
      </c>
      <c r="F288" s="11">
        <v>2</v>
      </c>
      <c r="G288" s="76">
        <f ca="1">SUMPRODUCT((Master!$A$2:$A$57=$B288)*(Master!$G$2:$G$57+공격력),(Master!$A$2:$A$57=$B288)*Master!$H$2:$H$57,(Master!$A$2:$A$57=$B288)*Master!$D$2:$D$57,(Master!$A$2:$A$57=$B288)*OFFSET(Master!$I$2:$I$57,0,D288-1),(Master!$A$2:$A$57=$B288)*OFFSET(Master!$L$2:$L$57,0,E288-1),(Master!$A$2:$A$57=$B288)*OFFSET(Master!$O$2:$O$57,0,F288-1))</f>
        <v>807</v>
      </c>
      <c r="H288" s="7">
        <f t="shared" si="9"/>
        <v>5.0499999999999972</v>
      </c>
      <c r="I288" s="80">
        <v>-200</v>
      </c>
      <c r="J288" s="77">
        <v>417</v>
      </c>
      <c r="K288" s="10" t="str">
        <f>VLOOKUP($B288&amp;1&amp;D288,Sheet3!$A$2:$E$221,5,0)</f>
        <v>뇌속성, 치명타피해 10%증가, 치명확률 30%증가 (불확실)</v>
      </c>
      <c r="L288" s="10" t="str">
        <f>VLOOKUP($B288&amp;2&amp;E288,Sheet3!$A$2:$E$221,5,0)</f>
        <v>공격범위증가 30%</v>
      </c>
      <c r="M288" s="10" t="str">
        <f>VLOOKUP($B288&amp;3&amp;F288,Sheet3!$A$2:$E$221,5,0)</f>
        <v>회오리 흩어질때 기본스킬 피해의 60% 피해</v>
      </c>
      <c r="N288" s="10">
        <v>35.731000000000002</v>
      </c>
      <c r="O288" s="10">
        <v>40.780999999999999</v>
      </c>
    </row>
    <row r="289" spans="1:15" s="10" customFormat="1">
      <c r="A289" s="10" t="str">
        <f t="shared" si="8"/>
        <v>풍신10331</v>
      </c>
      <c r="B289" s="11" t="s">
        <v>12</v>
      </c>
      <c r="C289" s="11">
        <v>10</v>
      </c>
      <c r="D289" s="11">
        <v>3</v>
      </c>
      <c r="E289" s="11">
        <v>3</v>
      </c>
      <c r="F289" s="11">
        <v>1</v>
      </c>
      <c r="G289" s="76">
        <f ca="1">SUMPRODUCT((Master!$A$2:$A$57=$B289)*(Master!$G$2:$G$57+공격력),(Master!$A$2:$A$57=$B289)*Master!$H$2:$H$57,(Master!$A$2:$A$57=$B289)*Master!$D$2:$D$57,(Master!$A$2:$A$57=$B289)*OFFSET(Master!$I$2:$I$57,0,D289-1),(Master!$A$2:$A$57=$B289)*OFFSET(Master!$L$2:$L$57,0,E289-1),(Master!$A$2:$A$57=$B289)*OFFSET(Master!$O$2:$O$57,0,F289-1))</f>
        <v>807</v>
      </c>
      <c r="H289" s="7">
        <f t="shared" si="9"/>
        <v>2.0479999999999983</v>
      </c>
      <c r="I289" s="80">
        <v>-200</v>
      </c>
      <c r="J289" s="77">
        <v>440</v>
      </c>
      <c r="K289" s="10" t="str">
        <f>VLOOKUP($B289&amp;1&amp;D289,Sheet3!$A$2:$E$221,5,0)</f>
        <v>뇌속성, 치명타피해 10%증가, 치명확률 30%증가 (불확실)</v>
      </c>
      <c r="L289" s="10" t="str">
        <f>VLOOKUP($B289&amp;2&amp;E289,Sheet3!$A$2:$E$221,5,0)</f>
        <v>이속 13% 증가, 지속 시간 1초(4틱) 증가</v>
      </c>
      <c r="M289" s="10" t="str">
        <f>VLOOKUP($B289&amp;3&amp;F289,Sheet3!$A$2:$E$221,5,0)</f>
        <v>일반스킬로 변경, 제자리에서 4초간 유지</v>
      </c>
      <c r="N289">
        <v>16.067</v>
      </c>
      <c r="O289" s="10">
        <v>18.114999999999998</v>
      </c>
    </row>
    <row r="290" spans="1:15" s="10" customFormat="1">
      <c r="A290" s="10" t="str">
        <f t="shared" si="8"/>
        <v>풍신10332</v>
      </c>
      <c r="B290" s="11" t="s">
        <v>12</v>
      </c>
      <c r="C290" s="11">
        <v>10</v>
      </c>
      <c r="D290" s="11">
        <v>3</v>
      </c>
      <c r="E290" s="11">
        <v>3</v>
      </c>
      <c r="F290" s="11">
        <v>2</v>
      </c>
      <c r="G290" s="76">
        <f ca="1">SUMPRODUCT((Master!$A$2:$A$57=$B290)*(Master!$G$2:$G$57+공격력),(Master!$A$2:$A$57=$B290)*Master!$H$2:$H$57,(Master!$A$2:$A$57=$B290)*Master!$D$2:$D$57,(Master!$A$2:$A$57=$B290)*OFFSET(Master!$I$2:$I$57,0,D290-1),(Master!$A$2:$A$57=$B290)*OFFSET(Master!$L$2:$L$57,0,E290-1),(Master!$A$2:$A$57=$B290)*OFFSET(Master!$O$2:$O$57,0,F290-1))</f>
        <v>807</v>
      </c>
      <c r="H290" s="7">
        <f t="shared" si="9"/>
        <v>6.0510000000000019</v>
      </c>
      <c r="I290" s="80">
        <v>-200</v>
      </c>
      <c r="J290" s="77">
        <v>396</v>
      </c>
      <c r="K290" s="10" t="str">
        <f>VLOOKUP($B290&amp;1&amp;D290,Sheet3!$A$2:$E$221,5,0)</f>
        <v>뇌속성, 치명타피해 10%증가, 치명확률 30%증가 (불확실)</v>
      </c>
      <c r="L290" s="10" t="str">
        <f>VLOOKUP($B290&amp;2&amp;E290,Sheet3!$A$2:$E$221,5,0)</f>
        <v>이속 13% 증가, 지속 시간 1초(4틱) 증가</v>
      </c>
      <c r="M290" s="10" t="str">
        <f>VLOOKUP($B290&amp;3&amp;F290,Sheet3!$A$2:$E$221,5,0)</f>
        <v>회오리 흩어질때 기본스킬 피해의 60% 피해</v>
      </c>
      <c r="N290" s="10">
        <v>32.631</v>
      </c>
      <c r="O290" s="10">
        <v>38.682000000000002</v>
      </c>
    </row>
    <row r="291" spans="1:15">
      <c r="A291" t="str">
        <f t="shared" si="8"/>
        <v>화룡10111</v>
      </c>
      <c r="B291" s="16" t="s">
        <v>10</v>
      </c>
      <c r="C291" s="16">
        <v>10</v>
      </c>
      <c r="D291" s="16">
        <v>1</v>
      </c>
      <c r="E291" s="16">
        <v>1</v>
      </c>
      <c r="F291" s="16">
        <v>1</v>
      </c>
      <c r="G291" s="1">
        <f ca="1">SUMPRODUCT((Master!$A$2:$A$57=$B291)*(Master!$G$2:$G$57+공격력),(Master!$A$2:$A$57=$B291)*Master!$H$2:$H$57,(Master!$A$2:$A$57=$B291)*Master!$D$2:$D$57,(Master!$A$2:$A$57=$B291)*OFFSET(Master!$I$2:$I$57,0,D291-1),(Master!$A$2:$A$57=$B291)*OFFSET(Master!$L$2:$L$57,0,E291-1),(Master!$A$2:$A$57=$B291)*OFFSET(Master!$O$2:$O$57,0,F291-1))</f>
        <v>17673.107142857145</v>
      </c>
      <c r="H291" s="7">
        <f t="shared" si="9"/>
        <v>1.3979999999999997</v>
      </c>
      <c r="I291" s="79">
        <v>-200</v>
      </c>
      <c r="J291" s="78">
        <v>462</v>
      </c>
      <c r="K291" t="str">
        <f>VLOOKUP($B291&amp;1&amp;D291,Sheet3!$A$2:$E$221,5,0)</f>
        <v>끌어당기는 범위 20%증가</v>
      </c>
      <c r="L291" t="str">
        <f>VLOOKUP($B291&amp;2&amp;E291,Sheet3!$A$2:$E$221,5,0)</f>
        <v>-</v>
      </c>
      <c r="M291" t="str">
        <f>VLOOKUP($B291&amp;3&amp;F291,Sheet3!$A$2:$E$221,5,0)</f>
        <v>기모으기 하는동안 화염뎀 최대 9틱(3402뎀)</v>
      </c>
      <c r="N291">
        <v>12.55</v>
      </c>
      <c r="O291">
        <v>13.948</v>
      </c>
    </row>
    <row r="292" spans="1:15">
      <c r="A292" t="str">
        <f t="shared" si="8"/>
        <v>화룡10112</v>
      </c>
      <c r="B292" s="16" t="s">
        <v>10</v>
      </c>
      <c r="C292" s="16">
        <v>10</v>
      </c>
      <c r="D292" s="16">
        <v>1</v>
      </c>
      <c r="E292" s="16">
        <v>1</v>
      </c>
      <c r="F292" s="16">
        <v>2</v>
      </c>
      <c r="G292" s="1">
        <f ca="1">SUMPRODUCT((Master!$A$2:$A$57=$B292)*(Master!$G$2:$G$57+공격력),(Master!$A$2:$A$57=$B292)*Master!$H$2:$H$57,(Master!$A$2:$A$57=$B292)*Master!$D$2:$D$57,(Master!$A$2:$A$57=$B292)*OFFSET(Master!$I$2:$I$57,0,D292-1),(Master!$A$2:$A$57=$B292)*OFFSET(Master!$L$2:$L$57,0,E292-1),(Master!$A$2:$A$57=$B292)*OFFSET(Master!$O$2:$O$57,0,F292-1))</f>
        <v>12273.507142857143</v>
      </c>
      <c r="H292" s="7">
        <f t="shared" si="9"/>
        <v>1.7650000000000006</v>
      </c>
      <c r="I292" s="79">
        <v>-200</v>
      </c>
      <c r="J292" s="78">
        <v>460</v>
      </c>
      <c r="K292" t="str">
        <f>VLOOKUP($B292&amp;1&amp;D292,Sheet3!$A$2:$E$221,5,0)</f>
        <v>끌어당기는 범위 20%증가</v>
      </c>
      <c r="L292" t="str">
        <f>VLOOKUP($B292&amp;2&amp;E292,Sheet3!$A$2:$E$221,5,0)</f>
        <v>-</v>
      </c>
      <c r="M292" t="str">
        <f>VLOOKUP($B292&amp;3&amp;F292,Sheet3!$A$2:$E$221,5,0)</f>
        <v>막타는 반드시 치명타</v>
      </c>
      <c r="N292">
        <v>24.265000000000001</v>
      </c>
      <c r="O292">
        <v>26.03</v>
      </c>
    </row>
    <row r="293" spans="1:15">
      <c r="A293" t="str">
        <f t="shared" si="8"/>
        <v>화룡10121</v>
      </c>
      <c r="B293" s="16" t="s">
        <v>10</v>
      </c>
      <c r="C293" s="16">
        <v>10</v>
      </c>
      <c r="D293" s="16">
        <v>1</v>
      </c>
      <c r="E293" s="16">
        <v>2</v>
      </c>
      <c r="F293" s="16">
        <v>1</v>
      </c>
      <c r="G293" s="1">
        <f ca="1">SUMPRODUCT((Master!$A$2:$A$57=$B293)*(Master!$G$2:$G$57+공격력),(Master!$A$2:$A$57=$B293)*Master!$H$2:$H$57,(Master!$A$2:$A$57=$B293)*Master!$D$2:$D$57,(Master!$A$2:$A$57=$B293)*OFFSET(Master!$I$2:$I$57,0,D293-1),(Master!$A$2:$A$57=$B293)*OFFSET(Master!$L$2:$L$57,0,E293-1),(Master!$A$2:$A$57=$B293)*OFFSET(Master!$O$2:$O$57,0,F293-1))</f>
        <v>13594.697802197803</v>
      </c>
      <c r="H293" s="7">
        <f t="shared" si="9"/>
        <v>1.3979999999999997</v>
      </c>
      <c r="I293" s="79">
        <v>-200</v>
      </c>
      <c r="J293" s="78">
        <v>462</v>
      </c>
      <c r="K293" t="str">
        <f>VLOOKUP($B293&amp;1&amp;D293,Sheet3!$A$2:$E$221,5,0)</f>
        <v>끌어당기는 범위 20%증가</v>
      </c>
      <c r="L293" t="str">
        <f>VLOOKUP($B293&amp;2&amp;E293,Sheet3!$A$2:$E$221,5,0)</f>
        <v>화룡의 치명타 피해 100%증가(평타의 3배)</v>
      </c>
      <c r="M293" t="str">
        <f>VLOOKUP($B293&amp;3&amp;F293,Sheet3!$A$2:$E$221,5,0)</f>
        <v>기모으기 하는동안 화염뎀 최대 9틱(3402뎀)</v>
      </c>
      <c r="N293">
        <v>12.55</v>
      </c>
      <c r="O293">
        <v>13.948</v>
      </c>
    </row>
    <row r="294" spans="1:15">
      <c r="A294" t="str">
        <f t="shared" si="8"/>
        <v>화룡10122</v>
      </c>
      <c r="B294" s="16" t="s">
        <v>10</v>
      </c>
      <c r="C294" s="16">
        <v>10</v>
      </c>
      <c r="D294" s="16">
        <v>1</v>
      </c>
      <c r="E294" s="16">
        <v>2</v>
      </c>
      <c r="F294" s="16">
        <v>2</v>
      </c>
      <c r="G294" s="1">
        <f ca="1">SUMPRODUCT((Master!$A$2:$A$57=$B294)*(Master!$G$2:$G$57+공격력),(Master!$A$2:$A$57=$B294)*Master!$H$2:$H$57,(Master!$A$2:$A$57=$B294)*Master!$D$2:$D$57,(Master!$A$2:$A$57=$B294)*OFFSET(Master!$I$2:$I$57,0,D294-1),(Master!$A$2:$A$57=$B294)*OFFSET(Master!$L$2:$L$57,0,E294-1),(Master!$A$2:$A$57=$B294)*OFFSET(Master!$O$2:$O$57,0,F294-1))</f>
        <v>9441.159340659342</v>
      </c>
      <c r="H294" s="7">
        <f t="shared" si="9"/>
        <v>1.7650000000000006</v>
      </c>
      <c r="I294" s="79">
        <v>-200</v>
      </c>
      <c r="J294" s="78">
        <v>460</v>
      </c>
      <c r="K294" t="str">
        <f>VLOOKUP($B294&amp;1&amp;D294,Sheet3!$A$2:$E$221,5,0)</f>
        <v>끌어당기는 범위 20%증가</v>
      </c>
      <c r="L294" t="str">
        <f>VLOOKUP($B294&amp;2&amp;E294,Sheet3!$A$2:$E$221,5,0)</f>
        <v>화룡의 치명타 피해 100%증가(평타의 3배)</v>
      </c>
      <c r="M294" t="str">
        <f>VLOOKUP($B294&amp;3&amp;F294,Sheet3!$A$2:$E$221,5,0)</f>
        <v>막타는 반드시 치명타</v>
      </c>
      <c r="N294">
        <v>24.265000000000001</v>
      </c>
      <c r="O294">
        <v>26.03</v>
      </c>
    </row>
    <row r="295" spans="1:15">
      <c r="A295" t="str">
        <f t="shared" si="8"/>
        <v>화룡10131</v>
      </c>
      <c r="B295" s="16" t="s">
        <v>10</v>
      </c>
      <c r="C295" s="16">
        <v>10</v>
      </c>
      <c r="D295" s="16">
        <v>1</v>
      </c>
      <c r="E295" s="16">
        <v>3</v>
      </c>
      <c r="F295" s="16">
        <v>1</v>
      </c>
      <c r="G295" s="1">
        <f ca="1">SUMPRODUCT((Master!$A$2:$A$57=$B295)*(Master!$G$2:$G$57+공격력),(Master!$A$2:$A$57=$B295)*Master!$H$2:$H$57,(Master!$A$2:$A$57=$B295)*Master!$D$2:$D$57,(Master!$A$2:$A$57=$B295)*OFFSET(Master!$I$2:$I$57,0,D295-1),(Master!$A$2:$A$57=$B295)*OFFSET(Master!$L$2:$L$57,0,E295-1),(Master!$A$2:$A$57=$B295)*OFFSET(Master!$O$2:$O$57,0,F295-1))</f>
        <v>13594.697802197803</v>
      </c>
      <c r="H295" s="7">
        <f t="shared" si="9"/>
        <v>1.3979999999999997</v>
      </c>
      <c r="I295" s="79">
        <v>-200</v>
      </c>
      <c r="J295" s="78">
        <v>462</v>
      </c>
      <c r="K295" t="str">
        <f>VLOOKUP($B295&amp;1&amp;D295,Sheet3!$A$2:$E$221,5,0)</f>
        <v>끌어당기는 범위 20%증가</v>
      </c>
      <c r="L295" t="str">
        <f>VLOOKUP($B295&amp;2&amp;E295,Sheet3!$A$2:$E$221,5,0)</f>
        <v>체력 30%미만인 적에게 80%추가피해</v>
      </c>
      <c r="M295" t="str">
        <f>VLOOKUP($B295&amp;3&amp;F295,Sheet3!$A$2:$E$221,5,0)</f>
        <v>기모으기 하는동안 화염뎀 최대 9틱(3402뎀)</v>
      </c>
      <c r="N295">
        <v>12.55</v>
      </c>
      <c r="O295">
        <v>13.948</v>
      </c>
    </row>
    <row r="296" spans="1:15">
      <c r="A296" t="str">
        <f t="shared" si="8"/>
        <v>화룡10132</v>
      </c>
      <c r="B296" s="16" t="s">
        <v>10</v>
      </c>
      <c r="C296" s="16">
        <v>10</v>
      </c>
      <c r="D296" s="16">
        <v>1</v>
      </c>
      <c r="E296" s="16">
        <v>3</v>
      </c>
      <c r="F296" s="16">
        <v>2</v>
      </c>
      <c r="G296" s="1">
        <f ca="1">SUMPRODUCT((Master!$A$2:$A$57=$B296)*(Master!$G$2:$G$57+공격력),(Master!$A$2:$A$57=$B296)*Master!$H$2:$H$57,(Master!$A$2:$A$57=$B296)*Master!$D$2:$D$57,(Master!$A$2:$A$57=$B296)*OFFSET(Master!$I$2:$I$57,0,D296-1),(Master!$A$2:$A$57=$B296)*OFFSET(Master!$L$2:$L$57,0,E296-1),(Master!$A$2:$A$57=$B296)*OFFSET(Master!$O$2:$O$57,0,F296-1))</f>
        <v>9441.159340659342</v>
      </c>
      <c r="H296" s="7">
        <f t="shared" si="9"/>
        <v>1.7650000000000006</v>
      </c>
      <c r="I296" s="79">
        <v>-200</v>
      </c>
      <c r="J296" s="78">
        <v>460</v>
      </c>
      <c r="K296" t="str">
        <f>VLOOKUP($B296&amp;1&amp;D296,Sheet3!$A$2:$E$221,5,0)</f>
        <v>끌어당기는 범위 20%증가</v>
      </c>
      <c r="L296" t="str">
        <f>VLOOKUP($B296&amp;2&amp;E296,Sheet3!$A$2:$E$221,5,0)</f>
        <v>체력 30%미만인 적에게 80%추가피해</v>
      </c>
      <c r="M296" t="str">
        <f>VLOOKUP($B296&amp;3&amp;F296,Sheet3!$A$2:$E$221,5,0)</f>
        <v>막타는 반드시 치명타</v>
      </c>
      <c r="N296">
        <v>24.265000000000001</v>
      </c>
      <c r="O296">
        <v>26.03</v>
      </c>
    </row>
    <row r="297" spans="1:15">
      <c r="A297" t="str">
        <f t="shared" si="8"/>
        <v>화룡10211</v>
      </c>
      <c r="B297" s="16" t="s">
        <v>10</v>
      </c>
      <c r="C297" s="16">
        <v>10</v>
      </c>
      <c r="D297" s="16">
        <v>2</v>
      </c>
      <c r="E297" s="16">
        <v>1</v>
      </c>
      <c r="F297" s="16">
        <v>1</v>
      </c>
      <c r="G297" s="1">
        <f ca="1">SUMPRODUCT((Master!$A$2:$A$57=$B297)*(Master!$G$2:$G$57+공격력),(Master!$A$2:$A$57=$B297)*Master!$H$2:$H$57,(Master!$A$2:$A$57=$B297)*Master!$D$2:$D$57,(Master!$A$2:$A$57=$B297)*OFFSET(Master!$I$2:$I$57,0,D297-1),(Master!$A$2:$A$57=$B297)*OFFSET(Master!$L$2:$L$57,0,E297-1),(Master!$A$2:$A$57=$B297)*OFFSET(Master!$O$2:$O$57,0,F297-1))</f>
        <v>17673.107142857145</v>
      </c>
      <c r="H297" s="7">
        <f t="shared" si="9"/>
        <v>1.3979999999999997</v>
      </c>
      <c r="I297" s="79">
        <v>-200</v>
      </c>
      <c r="J297" s="78">
        <v>462</v>
      </c>
      <c r="K297" t="str">
        <f>VLOOKUP($B297&amp;1&amp;D297,Sheet3!$A$2:$E$221,5,0)</f>
        <v>40%로 버블획득</v>
      </c>
      <c r="L297" t="str">
        <f>VLOOKUP($B297&amp;2&amp;E297,Sheet3!$A$2:$E$221,5,0)</f>
        <v>-</v>
      </c>
      <c r="M297" t="str">
        <f>VLOOKUP($B297&amp;3&amp;F297,Sheet3!$A$2:$E$221,5,0)</f>
        <v>기모으기 하는동안 화염뎀 최대 9틱(3402뎀)</v>
      </c>
      <c r="N297">
        <v>12.55</v>
      </c>
      <c r="O297">
        <v>13.948</v>
      </c>
    </row>
    <row r="298" spans="1:15">
      <c r="A298" t="str">
        <f t="shared" si="8"/>
        <v>화룡10212</v>
      </c>
      <c r="B298" s="16" t="s">
        <v>10</v>
      </c>
      <c r="C298" s="16">
        <v>10</v>
      </c>
      <c r="D298" s="16">
        <v>2</v>
      </c>
      <c r="E298" s="16">
        <v>1</v>
      </c>
      <c r="F298" s="16">
        <v>2</v>
      </c>
      <c r="G298" s="1">
        <f ca="1">SUMPRODUCT((Master!$A$2:$A$57=$B298)*(Master!$G$2:$G$57+공격력),(Master!$A$2:$A$57=$B298)*Master!$H$2:$H$57,(Master!$A$2:$A$57=$B298)*Master!$D$2:$D$57,(Master!$A$2:$A$57=$B298)*OFFSET(Master!$I$2:$I$57,0,D298-1),(Master!$A$2:$A$57=$B298)*OFFSET(Master!$L$2:$L$57,0,E298-1),(Master!$A$2:$A$57=$B298)*OFFSET(Master!$O$2:$O$57,0,F298-1))</f>
        <v>12273.507142857143</v>
      </c>
      <c r="H298" s="7">
        <f t="shared" si="9"/>
        <v>1.7650000000000006</v>
      </c>
      <c r="I298" s="79">
        <v>-200</v>
      </c>
      <c r="J298" s="78">
        <v>460</v>
      </c>
      <c r="K298" t="str">
        <f>VLOOKUP($B298&amp;1&amp;D298,Sheet3!$A$2:$E$221,5,0)</f>
        <v>40%로 버블획득</v>
      </c>
      <c r="L298" t="str">
        <f>VLOOKUP($B298&amp;2&amp;E298,Sheet3!$A$2:$E$221,5,0)</f>
        <v>-</v>
      </c>
      <c r="M298" t="str">
        <f>VLOOKUP($B298&amp;3&amp;F298,Sheet3!$A$2:$E$221,5,0)</f>
        <v>막타는 반드시 치명타</v>
      </c>
      <c r="N298">
        <v>24.265000000000001</v>
      </c>
      <c r="O298">
        <v>26.03</v>
      </c>
    </row>
    <row r="299" spans="1:15">
      <c r="A299" t="str">
        <f t="shared" si="8"/>
        <v>화룡10221</v>
      </c>
      <c r="B299" s="16" t="s">
        <v>10</v>
      </c>
      <c r="C299" s="16">
        <v>10</v>
      </c>
      <c r="D299" s="16">
        <v>2</v>
      </c>
      <c r="E299" s="16">
        <v>2</v>
      </c>
      <c r="F299" s="16">
        <v>1</v>
      </c>
      <c r="G299" s="1">
        <f ca="1">SUMPRODUCT((Master!$A$2:$A$57=$B299)*(Master!$G$2:$G$57+공격력),(Master!$A$2:$A$57=$B299)*Master!$H$2:$H$57,(Master!$A$2:$A$57=$B299)*Master!$D$2:$D$57,(Master!$A$2:$A$57=$B299)*OFFSET(Master!$I$2:$I$57,0,D299-1),(Master!$A$2:$A$57=$B299)*OFFSET(Master!$L$2:$L$57,0,E299-1),(Master!$A$2:$A$57=$B299)*OFFSET(Master!$O$2:$O$57,0,F299-1))</f>
        <v>13594.697802197803</v>
      </c>
      <c r="H299" s="7">
        <f t="shared" si="9"/>
        <v>1.3979999999999997</v>
      </c>
      <c r="I299" s="79">
        <v>-200</v>
      </c>
      <c r="J299" s="78">
        <v>462</v>
      </c>
      <c r="K299" t="str">
        <f>VLOOKUP($B299&amp;1&amp;D299,Sheet3!$A$2:$E$221,5,0)</f>
        <v>40%로 버블획득</v>
      </c>
      <c r="L299" t="str">
        <f>VLOOKUP($B299&amp;2&amp;E299,Sheet3!$A$2:$E$221,5,0)</f>
        <v>화룡의 치명타 피해 100%증가(평타의 3배)</v>
      </c>
      <c r="M299" t="str">
        <f>VLOOKUP($B299&amp;3&amp;F299,Sheet3!$A$2:$E$221,5,0)</f>
        <v>기모으기 하는동안 화염뎀 최대 9틱(3402뎀)</v>
      </c>
      <c r="N299">
        <v>12.55</v>
      </c>
      <c r="O299">
        <v>13.948</v>
      </c>
    </row>
    <row r="300" spans="1:15">
      <c r="A300" t="str">
        <f t="shared" si="8"/>
        <v>화룡10222</v>
      </c>
      <c r="B300" s="16" t="s">
        <v>10</v>
      </c>
      <c r="C300" s="16">
        <v>10</v>
      </c>
      <c r="D300" s="16">
        <v>2</v>
      </c>
      <c r="E300" s="16">
        <v>2</v>
      </c>
      <c r="F300" s="16">
        <v>2</v>
      </c>
      <c r="G300" s="1">
        <f ca="1">SUMPRODUCT((Master!$A$2:$A$57=$B300)*(Master!$G$2:$G$57+공격력),(Master!$A$2:$A$57=$B300)*Master!$H$2:$H$57,(Master!$A$2:$A$57=$B300)*Master!$D$2:$D$57,(Master!$A$2:$A$57=$B300)*OFFSET(Master!$I$2:$I$57,0,D300-1),(Master!$A$2:$A$57=$B300)*OFFSET(Master!$L$2:$L$57,0,E300-1),(Master!$A$2:$A$57=$B300)*OFFSET(Master!$O$2:$O$57,0,F300-1))</f>
        <v>9441.159340659342</v>
      </c>
      <c r="H300" s="7">
        <f t="shared" si="9"/>
        <v>1.7650000000000006</v>
      </c>
      <c r="I300" s="79">
        <v>-200</v>
      </c>
      <c r="J300" s="78">
        <v>460</v>
      </c>
      <c r="K300" t="str">
        <f>VLOOKUP($B300&amp;1&amp;D300,Sheet3!$A$2:$E$221,5,0)</f>
        <v>40%로 버블획득</v>
      </c>
      <c r="L300" t="str">
        <f>VLOOKUP($B300&amp;2&amp;E300,Sheet3!$A$2:$E$221,5,0)</f>
        <v>화룡의 치명타 피해 100%증가(평타의 3배)</v>
      </c>
      <c r="M300" t="str">
        <f>VLOOKUP($B300&amp;3&amp;F300,Sheet3!$A$2:$E$221,5,0)</f>
        <v>막타는 반드시 치명타</v>
      </c>
      <c r="N300">
        <v>24.265000000000001</v>
      </c>
      <c r="O300">
        <v>26.03</v>
      </c>
    </row>
    <row r="301" spans="1:15">
      <c r="A301" t="str">
        <f t="shared" si="8"/>
        <v>화룡10231</v>
      </c>
      <c r="B301" s="16" t="s">
        <v>10</v>
      </c>
      <c r="C301" s="16">
        <v>10</v>
      </c>
      <c r="D301" s="16">
        <v>2</v>
      </c>
      <c r="E301" s="16">
        <v>3</v>
      </c>
      <c r="F301" s="16">
        <v>1</v>
      </c>
      <c r="G301" s="1">
        <f ca="1">SUMPRODUCT((Master!$A$2:$A$57=$B301)*(Master!$G$2:$G$57+공격력),(Master!$A$2:$A$57=$B301)*Master!$H$2:$H$57,(Master!$A$2:$A$57=$B301)*Master!$D$2:$D$57,(Master!$A$2:$A$57=$B301)*OFFSET(Master!$I$2:$I$57,0,D301-1),(Master!$A$2:$A$57=$B301)*OFFSET(Master!$L$2:$L$57,0,E301-1),(Master!$A$2:$A$57=$B301)*OFFSET(Master!$O$2:$O$57,0,F301-1))</f>
        <v>13594.697802197803</v>
      </c>
      <c r="H301" s="7">
        <f t="shared" si="9"/>
        <v>1.3979999999999997</v>
      </c>
      <c r="I301" s="79">
        <v>-200</v>
      </c>
      <c r="J301" s="78">
        <v>462</v>
      </c>
      <c r="K301" t="str">
        <f>VLOOKUP($B301&amp;1&amp;D301,Sheet3!$A$2:$E$221,5,0)</f>
        <v>40%로 버블획득</v>
      </c>
      <c r="L301" t="str">
        <f>VLOOKUP($B301&amp;2&amp;E301,Sheet3!$A$2:$E$221,5,0)</f>
        <v>체력 30%미만인 적에게 80%추가피해</v>
      </c>
      <c r="M301" t="str">
        <f>VLOOKUP($B301&amp;3&amp;F301,Sheet3!$A$2:$E$221,5,0)</f>
        <v>기모으기 하는동안 화염뎀 최대 9틱(3402뎀)</v>
      </c>
      <c r="N301">
        <v>12.55</v>
      </c>
      <c r="O301">
        <v>13.948</v>
      </c>
    </row>
    <row r="302" spans="1:15">
      <c r="A302" t="str">
        <f t="shared" si="8"/>
        <v>화룡10232</v>
      </c>
      <c r="B302" s="16" t="s">
        <v>10</v>
      </c>
      <c r="C302" s="16">
        <v>10</v>
      </c>
      <c r="D302" s="16">
        <v>2</v>
      </c>
      <c r="E302" s="16">
        <v>3</v>
      </c>
      <c r="F302" s="16">
        <v>2</v>
      </c>
      <c r="G302" s="1">
        <f ca="1">SUMPRODUCT((Master!$A$2:$A$57=$B302)*(Master!$G$2:$G$57+공격력),(Master!$A$2:$A$57=$B302)*Master!$H$2:$H$57,(Master!$A$2:$A$57=$B302)*Master!$D$2:$D$57,(Master!$A$2:$A$57=$B302)*OFFSET(Master!$I$2:$I$57,0,D302-1),(Master!$A$2:$A$57=$B302)*OFFSET(Master!$L$2:$L$57,0,E302-1),(Master!$A$2:$A$57=$B302)*OFFSET(Master!$O$2:$O$57,0,F302-1))</f>
        <v>9441.159340659342</v>
      </c>
      <c r="H302" s="7">
        <f t="shared" si="9"/>
        <v>1.7650000000000006</v>
      </c>
      <c r="I302" s="79">
        <v>-200</v>
      </c>
      <c r="J302" s="78">
        <v>460</v>
      </c>
      <c r="K302" t="str">
        <f>VLOOKUP($B302&amp;1&amp;D302,Sheet3!$A$2:$E$221,5,0)</f>
        <v>40%로 버블획득</v>
      </c>
      <c r="L302" t="str">
        <f>VLOOKUP($B302&amp;2&amp;E302,Sheet3!$A$2:$E$221,5,0)</f>
        <v>체력 30%미만인 적에게 80%추가피해</v>
      </c>
      <c r="M302" t="str">
        <f>VLOOKUP($B302&amp;3&amp;F302,Sheet3!$A$2:$E$221,5,0)</f>
        <v>막타는 반드시 치명타</v>
      </c>
      <c r="N302">
        <v>24.265000000000001</v>
      </c>
      <c r="O302">
        <v>26.03</v>
      </c>
    </row>
    <row r="303" spans="1:15">
      <c r="A303" t="str">
        <f t="shared" si="8"/>
        <v>화룡10311</v>
      </c>
      <c r="B303" s="16" t="s">
        <v>10</v>
      </c>
      <c r="C303" s="16">
        <v>10</v>
      </c>
      <c r="D303" s="16">
        <v>3</v>
      </c>
      <c r="E303" s="16">
        <v>1</v>
      </c>
      <c r="F303" s="16">
        <v>1</v>
      </c>
      <c r="G303" s="1">
        <f ca="1">SUMPRODUCT((Master!$A$2:$A$57=$B303)*(Master!$G$2:$G$57+공격력),(Master!$A$2:$A$57=$B303)*Master!$H$2:$H$57,(Master!$A$2:$A$57=$B303)*Master!$D$2:$D$57,(Master!$A$2:$A$57=$B303)*OFFSET(Master!$I$2:$I$57,0,D303-1),(Master!$A$2:$A$57=$B303)*OFFSET(Master!$L$2:$L$57,0,E303-1),(Master!$A$2:$A$57=$B303)*OFFSET(Master!$O$2:$O$57,0,F303-1))</f>
        <v>17673.107142857145</v>
      </c>
      <c r="H303" s="7">
        <f t="shared" si="9"/>
        <v>1.3979999999999997</v>
      </c>
      <c r="I303" s="79">
        <v>-200</v>
      </c>
      <c r="J303" s="78">
        <v>462</v>
      </c>
      <c r="K303" t="str">
        <f>VLOOKUP($B303&amp;1&amp;D303,Sheet3!$A$2:$E$221,5,0)</f>
        <v>승천할때 피격면역</v>
      </c>
      <c r="L303" t="str">
        <f>VLOOKUP($B303&amp;2&amp;E303,Sheet3!$A$2:$E$221,5,0)</f>
        <v>-</v>
      </c>
      <c r="M303" t="str">
        <f>VLOOKUP($B303&amp;3&amp;F303,Sheet3!$A$2:$E$221,5,0)</f>
        <v>기모으기 하는동안 화염뎀 최대 9틱(3402뎀)</v>
      </c>
      <c r="N303">
        <v>12.55</v>
      </c>
      <c r="O303">
        <v>13.948</v>
      </c>
    </row>
    <row r="304" spans="1:15">
      <c r="A304" t="str">
        <f t="shared" si="8"/>
        <v>화룡10312</v>
      </c>
      <c r="B304" s="16" t="s">
        <v>10</v>
      </c>
      <c r="C304" s="16">
        <v>10</v>
      </c>
      <c r="D304" s="16">
        <v>3</v>
      </c>
      <c r="E304" s="16">
        <v>1</v>
      </c>
      <c r="F304" s="16">
        <v>2</v>
      </c>
      <c r="G304" s="1">
        <f ca="1">SUMPRODUCT((Master!$A$2:$A$57=$B304)*(Master!$G$2:$G$57+공격력),(Master!$A$2:$A$57=$B304)*Master!$H$2:$H$57,(Master!$A$2:$A$57=$B304)*Master!$D$2:$D$57,(Master!$A$2:$A$57=$B304)*OFFSET(Master!$I$2:$I$57,0,D304-1),(Master!$A$2:$A$57=$B304)*OFFSET(Master!$L$2:$L$57,0,E304-1),(Master!$A$2:$A$57=$B304)*OFFSET(Master!$O$2:$O$57,0,F304-1))</f>
        <v>12273.507142857143</v>
      </c>
      <c r="H304" s="7">
        <f t="shared" si="9"/>
        <v>1.7650000000000006</v>
      </c>
      <c r="I304" s="79">
        <v>-200</v>
      </c>
      <c r="J304" s="78">
        <v>460</v>
      </c>
      <c r="K304" t="str">
        <f>VLOOKUP($B304&amp;1&amp;D304,Sheet3!$A$2:$E$221,5,0)</f>
        <v>승천할때 피격면역</v>
      </c>
      <c r="L304" t="str">
        <f>VLOOKUP($B304&amp;2&amp;E304,Sheet3!$A$2:$E$221,5,0)</f>
        <v>-</v>
      </c>
      <c r="M304" t="str">
        <f>VLOOKUP($B304&amp;3&amp;F304,Sheet3!$A$2:$E$221,5,0)</f>
        <v>막타는 반드시 치명타</v>
      </c>
      <c r="N304">
        <v>24.265000000000001</v>
      </c>
      <c r="O304">
        <v>26.03</v>
      </c>
    </row>
    <row r="305" spans="1:15">
      <c r="A305" t="str">
        <f t="shared" si="8"/>
        <v>화룡10321</v>
      </c>
      <c r="B305" s="16" t="s">
        <v>10</v>
      </c>
      <c r="C305" s="16">
        <v>10</v>
      </c>
      <c r="D305" s="16">
        <v>3</v>
      </c>
      <c r="E305" s="16">
        <v>2</v>
      </c>
      <c r="F305" s="16">
        <v>1</v>
      </c>
      <c r="G305" s="1">
        <f ca="1">SUMPRODUCT((Master!$A$2:$A$57=$B305)*(Master!$G$2:$G$57+공격력),(Master!$A$2:$A$57=$B305)*Master!$H$2:$H$57,(Master!$A$2:$A$57=$B305)*Master!$D$2:$D$57,(Master!$A$2:$A$57=$B305)*OFFSET(Master!$I$2:$I$57,0,D305-1),(Master!$A$2:$A$57=$B305)*OFFSET(Master!$L$2:$L$57,0,E305-1),(Master!$A$2:$A$57=$B305)*OFFSET(Master!$O$2:$O$57,0,F305-1))</f>
        <v>13594.697802197803</v>
      </c>
      <c r="H305" s="7">
        <f t="shared" si="9"/>
        <v>1.3979999999999997</v>
      </c>
      <c r="I305" s="79">
        <v>-200</v>
      </c>
      <c r="J305" s="78">
        <v>462</v>
      </c>
      <c r="K305" t="str">
        <f>VLOOKUP($B305&amp;1&amp;D305,Sheet3!$A$2:$E$221,5,0)</f>
        <v>승천할때 피격면역</v>
      </c>
      <c r="L305" t="str">
        <f>VLOOKUP($B305&amp;2&amp;E305,Sheet3!$A$2:$E$221,5,0)</f>
        <v>화룡의 치명타 피해 100%증가(평타의 3배)</v>
      </c>
      <c r="M305" t="str">
        <f>VLOOKUP($B305&amp;3&amp;F305,Sheet3!$A$2:$E$221,5,0)</f>
        <v>기모으기 하는동안 화염뎀 최대 9틱(3402뎀)</v>
      </c>
      <c r="N305">
        <v>12.55</v>
      </c>
      <c r="O305">
        <v>13.948</v>
      </c>
    </row>
    <row r="306" spans="1:15">
      <c r="A306" t="str">
        <f t="shared" si="8"/>
        <v>화룡10322</v>
      </c>
      <c r="B306" s="16" t="s">
        <v>10</v>
      </c>
      <c r="C306" s="16">
        <v>10</v>
      </c>
      <c r="D306" s="16">
        <v>3</v>
      </c>
      <c r="E306" s="16">
        <v>2</v>
      </c>
      <c r="F306" s="16">
        <v>2</v>
      </c>
      <c r="G306" s="1">
        <f ca="1">SUMPRODUCT((Master!$A$2:$A$57=$B306)*(Master!$G$2:$G$57+공격력),(Master!$A$2:$A$57=$B306)*Master!$H$2:$H$57,(Master!$A$2:$A$57=$B306)*Master!$D$2:$D$57,(Master!$A$2:$A$57=$B306)*OFFSET(Master!$I$2:$I$57,0,D306-1),(Master!$A$2:$A$57=$B306)*OFFSET(Master!$L$2:$L$57,0,E306-1),(Master!$A$2:$A$57=$B306)*OFFSET(Master!$O$2:$O$57,0,F306-1))</f>
        <v>9441.159340659342</v>
      </c>
      <c r="H306" s="7">
        <f t="shared" si="9"/>
        <v>1.7650000000000006</v>
      </c>
      <c r="I306" s="79">
        <v>-200</v>
      </c>
      <c r="J306" s="78">
        <v>460</v>
      </c>
      <c r="K306" t="str">
        <f>VLOOKUP($B306&amp;1&amp;D306,Sheet3!$A$2:$E$221,5,0)</f>
        <v>승천할때 피격면역</v>
      </c>
      <c r="L306" t="str">
        <f>VLOOKUP($B306&amp;2&amp;E306,Sheet3!$A$2:$E$221,5,0)</f>
        <v>화룡의 치명타 피해 100%증가(평타의 3배)</v>
      </c>
      <c r="M306" t="str">
        <f>VLOOKUP($B306&amp;3&amp;F306,Sheet3!$A$2:$E$221,5,0)</f>
        <v>막타는 반드시 치명타</v>
      </c>
      <c r="N306">
        <v>24.265000000000001</v>
      </c>
      <c r="O306">
        <v>26.03</v>
      </c>
    </row>
    <row r="307" spans="1:15">
      <c r="A307" t="str">
        <f t="shared" si="8"/>
        <v>화룡10331</v>
      </c>
      <c r="B307" s="16" t="s">
        <v>10</v>
      </c>
      <c r="C307" s="16">
        <v>10</v>
      </c>
      <c r="D307" s="16">
        <v>3</v>
      </c>
      <c r="E307" s="16">
        <v>3</v>
      </c>
      <c r="F307" s="16">
        <v>1</v>
      </c>
      <c r="G307" s="1">
        <f ca="1">SUMPRODUCT((Master!$A$2:$A$57=$B307)*(Master!$G$2:$G$57+공격력),(Master!$A$2:$A$57=$B307)*Master!$H$2:$H$57,(Master!$A$2:$A$57=$B307)*Master!$D$2:$D$57,(Master!$A$2:$A$57=$B307)*OFFSET(Master!$I$2:$I$57,0,D307-1),(Master!$A$2:$A$57=$B307)*OFFSET(Master!$L$2:$L$57,0,E307-1),(Master!$A$2:$A$57=$B307)*OFFSET(Master!$O$2:$O$57,0,F307-1))</f>
        <v>13594.697802197803</v>
      </c>
      <c r="H307" s="7">
        <f t="shared" si="9"/>
        <v>1.3979999999999997</v>
      </c>
      <c r="I307" s="79">
        <v>-200</v>
      </c>
      <c r="J307" s="78">
        <v>462</v>
      </c>
      <c r="K307" t="str">
        <f>VLOOKUP($B307&amp;1&amp;D307,Sheet3!$A$2:$E$221,5,0)</f>
        <v>승천할때 피격면역</v>
      </c>
      <c r="L307" t="str">
        <f>VLOOKUP($B307&amp;2&amp;E307,Sheet3!$A$2:$E$221,5,0)</f>
        <v>체력 30%미만인 적에게 80%추가피해</v>
      </c>
      <c r="M307" t="str">
        <f>VLOOKUP($B307&amp;3&amp;F307,Sheet3!$A$2:$E$221,5,0)</f>
        <v>기모으기 하는동안 화염뎀 최대 9틱(3402뎀)</v>
      </c>
      <c r="N307">
        <v>12.55</v>
      </c>
      <c r="O307">
        <v>13.948</v>
      </c>
    </row>
    <row r="308" spans="1:15">
      <c r="A308" t="str">
        <f t="shared" si="8"/>
        <v>화룡10332</v>
      </c>
      <c r="B308" s="16" t="s">
        <v>10</v>
      </c>
      <c r="C308" s="16">
        <v>10</v>
      </c>
      <c r="D308" s="16">
        <v>3</v>
      </c>
      <c r="E308" s="16">
        <v>3</v>
      </c>
      <c r="F308" s="16">
        <v>2</v>
      </c>
      <c r="G308" s="1">
        <f ca="1">SUMPRODUCT((Master!$A$2:$A$57=$B308)*(Master!$G$2:$G$57+공격력),(Master!$A$2:$A$57=$B308)*Master!$H$2:$H$57,(Master!$A$2:$A$57=$B308)*Master!$D$2:$D$57,(Master!$A$2:$A$57=$B308)*OFFSET(Master!$I$2:$I$57,0,D308-1),(Master!$A$2:$A$57=$B308)*OFFSET(Master!$L$2:$L$57,0,E308-1),(Master!$A$2:$A$57=$B308)*OFFSET(Master!$O$2:$O$57,0,F308-1))</f>
        <v>9441.159340659342</v>
      </c>
      <c r="H308" s="7">
        <f t="shared" si="9"/>
        <v>1.7650000000000006</v>
      </c>
      <c r="I308" s="79">
        <v>-200</v>
      </c>
      <c r="J308" s="78">
        <v>460</v>
      </c>
      <c r="K308" t="str">
        <f>VLOOKUP($B308&amp;1&amp;D308,Sheet3!$A$2:$E$221,5,0)</f>
        <v>승천할때 피격면역</v>
      </c>
      <c r="L308" t="str">
        <f>VLOOKUP($B308&amp;2&amp;E308,Sheet3!$A$2:$E$221,5,0)</f>
        <v>체력 30%미만인 적에게 80%추가피해</v>
      </c>
      <c r="M308" t="str">
        <f>VLOOKUP($B308&amp;3&amp;F308,Sheet3!$A$2:$E$221,5,0)</f>
        <v>막타는 반드시 치명타</v>
      </c>
      <c r="N308">
        <v>24.265000000000001</v>
      </c>
      <c r="O308">
        <v>26.03</v>
      </c>
    </row>
    <row r="309" spans="1:15">
      <c r="A309" t="str">
        <f t="shared" si="8"/>
        <v>화룡(H)10111</v>
      </c>
      <c r="B309" s="16" t="s">
        <v>231</v>
      </c>
      <c r="C309" s="16">
        <v>10</v>
      </c>
      <c r="D309" s="16">
        <v>1</v>
      </c>
      <c r="E309" s="16">
        <v>1</v>
      </c>
      <c r="F309" s="16">
        <v>1</v>
      </c>
      <c r="G309" s="1">
        <f ca="1">SUMPRODUCT((Master!$A$2:$A$57=$B309)*(Master!$G$2:$G$57+공격력),(Master!$A$2:$A$57=$B309)*Master!$H$2:$H$57,(Master!$A$2:$A$57=$B309)*Master!$D$2:$D$57,(Master!$A$2:$A$57=$B309)*OFFSET(Master!$I$2:$I$57,0,D309-1),(Master!$A$2:$A$57=$B309)*OFFSET(Master!$L$2:$L$57,0,E309-1),(Master!$A$2:$A$57=$B309)*OFFSET(Master!$O$2:$O$57,0,F309-1))</f>
        <v>24307.489285714288</v>
      </c>
      <c r="H309" s="7">
        <f t="shared" si="9"/>
        <v>3.8339999999999996</v>
      </c>
      <c r="I309" s="79">
        <v>-200</v>
      </c>
      <c r="J309" s="78">
        <v>437</v>
      </c>
      <c r="K309" t="str">
        <f>VLOOKUP($B309&amp;1&amp;D309,Sheet3!$A$2:$E$221,5,0)</f>
        <v>끌어당기는 범위 20%증가</v>
      </c>
      <c r="L309" t="str">
        <f>VLOOKUP($B309&amp;2&amp;E309,Sheet3!$A$2:$E$221,5,0)</f>
        <v>-</v>
      </c>
      <c r="M309" t="str">
        <f>VLOOKUP($B309&amp;3&amp;F309,Sheet3!$A$2:$E$221,5,0)</f>
        <v>기모으기 하는동안 화염뎀 최대 9틱(3402뎀)</v>
      </c>
      <c r="N309">
        <v>12.233000000000001</v>
      </c>
      <c r="O309">
        <v>16.067</v>
      </c>
    </row>
    <row r="310" spans="1:15">
      <c r="A310" t="str">
        <f t="shared" si="8"/>
        <v>화룡(H)10121</v>
      </c>
      <c r="B310" s="16" t="s">
        <v>231</v>
      </c>
      <c r="C310" s="16">
        <v>10</v>
      </c>
      <c r="D310" s="16">
        <v>1</v>
      </c>
      <c r="E310" s="16">
        <v>2</v>
      </c>
      <c r="F310" s="16">
        <v>1</v>
      </c>
      <c r="G310" s="1">
        <f ca="1">SUMPRODUCT((Master!$A$2:$A$57=$B310)*(Master!$G$2:$G$57+공격력),(Master!$A$2:$A$57=$B310)*Master!$H$2:$H$57,(Master!$A$2:$A$57=$B310)*Master!$D$2:$D$57,(Master!$A$2:$A$57=$B310)*OFFSET(Master!$I$2:$I$57,0,D310-1),(Master!$A$2:$A$57=$B310)*OFFSET(Master!$L$2:$L$57,0,E310-1),(Master!$A$2:$A$57=$B310)*OFFSET(Master!$O$2:$O$57,0,F310-1))</f>
        <v>18698.068681318684</v>
      </c>
      <c r="H310" s="7">
        <f t="shared" si="9"/>
        <v>3.8339999999999996</v>
      </c>
      <c r="I310" s="79">
        <v>-200</v>
      </c>
      <c r="J310" s="78">
        <v>437</v>
      </c>
      <c r="K310" t="str">
        <f>VLOOKUP($B310&amp;1&amp;D310,Sheet3!$A$2:$E$221,5,0)</f>
        <v>끌어당기는 범위 20%증가</v>
      </c>
      <c r="L310" t="str">
        <f>VLOOKUP($B310&amp;2&amp;E310,Sheet3!$A$2:$E$221,5,0)</f>
        <v>화룡의 치명타 피해 100%증가(평타의 3배)</v>
      </c>
      <c r="M310" t="str">
        <f>VLOOKUP($B310&amp;3&amp;F310,Sheet3!$A$2:$E$221,5,0)</f>
        <v>기모으기 하는동안 화염뎀 최대 9틱(3402뎀)</v>
      </c>
      <c r="N310">
        <v>12.233000000000001</v>
      </c>
      <c r="O310">
        <v>16.067</v>
      </c>
    </row>
    <row r="311" spans="1:15">
      <c r="A311" t="str">
        <f t="shared" si="8"/>
        <v>화룡(H)10131</v>
      </c>
      <c r="B311" s="16" t="s">
        <v>231</v>
      </c>
      <c r="C311" s="16">
        <v>10</v>
      </c>
      <c r="D311" s="16">
        <v>1</v>
      </c>
      <c r="E311" s="16">
        <v>3</v>
      </c>
      <c r="F311" s="16">
        <v>1</v>
      </c>
      <c r="G311" s="1">
        <f ca="1">SUMPRODUCT((Master!$A$2:$A$57=$B311)*(Master!$G$2:$G$57+공격력),(Master!$A$2:$A$57=$B311)*Master!$H$2:$H$57,(Master!$A$2:$A$57=$B311)*Master!$D$2:$D$57,(Master!$A$2:$A$57=$B311)*OFFSET(Master!$I$2:$I$57,0,D311-1),(Master!$A$2:$A$57=$B311)*OFFSET(Master!$L$2:$L$57,0,E311-1),(Master!$A$2:$A$57=$B311)*OFFSET(Master!$O$2:$O$57,0,F311-1))</f>
        <v>18698.068681318684</v>
      </c>
      <c r="H311" s="7">
        <f t="shared" si="9"/>
        <v>3.8339999999999996</v>
      </c>
      <c r="I311" s="79">
        <v>-200</v>
      </c>
      <c r="J311" s="78">
        <v>437</v>
      </c>
      <c r="K311" t="str">
        <f>VLOOKUP($B311&amp;1&amp;D311,Sheet3!$A$2:$E$221,5,0)</f>
        <v>끌어당기는 범위 20%증가</v>
      </c>
      <c r="L311" t="str">
        <f>VLOOKUP($B311&amp;2&amp;E311,Sheet3!$A$2:$E$221,5,0)</f>
        <v>체력 30%미만인 적에게 80%추가피해</v>
      </c>
      <c r="M311" t="str">
        <f>VLOOKUP($B311&amp;3&amp;F311,Sheet3!$A$2:$E$221,5,0)</f>
        <v>기모으기 하는동안 화염뎀 최대 9틱(3402뎀)</v>
      </c>
      <c r="N311">
        <v>12.233000000000001</v>
      </c>
      <c r="O311">
        <v>16.067</v>
      </c>
    </row>
    <row r="312" spans="1:15">
      <c r="A312" t="str">
        <f t="shared" si="8"/>
        <v>화룡(H)10211</v>
      </c>
      <c r="B312" s="16" t="s">
        <v>231</v>
      </c>
      <c r="C312" s="16">
        <v>10</v>
      </c>
      <c r="D312" s="16">
        <v>2</v>
      </c>
      <c r="E312" s="16">
        <v>1</v>
      </c>
      <c r="F312" s="16">
        <v>1</v>
      </c>
      <c r="G312" s="1">
        <f ca="1">SUMPRODUCT((Master!$A$2:$A$57=$B312)*(Master!$G$2:$G$57+공격력),(Master!$A$2:$A$57=$B312)*Master!$H$2:$H$57,(Master!$A$2:$A$57=$B312)*Master!$D$2:$D$57,(Master!$A$2:$A$57=$B312)*OFFSET(Master!$I$2:$I$57,0,D312-1),(Master!$A$2:$A$57=$B312)*OFFSET(Master!$L$2:$L$57,0,E312-1),(Master!$A$2:$A$57=$B312)*OFFSET(Master!$O$2:$O$57,0,F312-1))</f>
        <v>24307.489285714288</v>
      </c>
      <c r="H312" s="7">
        <f t="shared" si="9"/>
        <v>3.8339999999999996</v>
      </c>
      <c r="I312" s="79">
        <v>-200</v>
      </c>
      <c r="J312" s="78">
        <v>437</v>
      </c>
      <c r="K312" t="str">
        <f>VLOOKUP($B312&amp;1&amp;D312,Sheet3!$A$2:$E$221,5,0)</f>
        <v>40%로 버블획득</v>
      </c>
      <c r="L312" t="str">
        <f>VLOOKUP($B312&amp;2&amp;E312,Sheet3!$A$2:$E$221,5,0)</f>
        <v>-</v>
      </c>
      <c r="M312" t="str">
        <f>VLOOKUP($B312&amp;3&amp;F312,Sheet3!$A$2:$E$221,5,0)</f>
        <v>기모으기 하는동안 화염뎀 최대 9틱(3402뎀)</v>
      </c>
      <c r="N312">
        <v>12.233000000000001</v>
      </c>
      <c r="O312">
        <v>16.067</v>
      </c>
    </row>
    <row r="313" spans="1:15">
      <c r="A313" t="str">
        <f t="shared" si="8"/>
        <v>화룡(H)10221</v>
      </c>
      <c r="B313" s="16" t="s">
        <v>231</v>
      </c>
      <c r="C313" s="16">
        <v>10</v>
      </c>
      <c r="D313" s="16">
        <v>2</v>
      </c>
      <c r="E313" s="16">
        <v>2</v>
      </c>
      <c r="F313" s="16">
        <v>1</v>
      </c>
      <c r="G313" s="1">
        <f ca="1">SUMPRODUCT((Master!$A$2:$A$57=$B313)*(Master!$G$2:$G$57+공격력),(Master!$A$2:$A$57=$B313)*Master!$H$2:$H$57,(Master!$A$2:$A$57=$B313)*Master!$D$2:$D$57,(Master!$A$2:$A$57=$B313)*OFFSET(Master!$I$2:$I$57,0,D313-1),(Master!$A$2:$A$57=$B313)*OFFSET(Master!$L$2:$L$57,0,E313-1),(Master!$A$2:$A$57=$B313)*OFFSET(Master!$O$2:$O$57,0,F313-1))</f>
        <v>18698.068681318684</v>
      </c>
      <c r="H313" s="7">
        <f t="shared" si="9"/>
        <v>3.8339999999999996</v>
      </c>
      <c r="I313" s="79">
        <v>-200</v>
      </c>
      <c r="J313" s="78">
        <v>437</v>
      </c>
      <c r="K313" t="str">
        <f>VLOOKUP($B313&amp;1&amp;D313,Sheet3!$A$2:$E$221,5,0)</f>
        <v>40%로 버블획득</v>
      </c>
      <c r="L313" t="str">
        <f>VLOOKUP($B313&amp;2&amp;E313,Sheet3!$A$2:$E$221,5,0)</f>
        <v>화룡의 치명타 피해 100%증가(평타의 3배)</v>
      </c>
      <c r="M313" t="str">
        <f>VLOOKUP($B313&amp;3&amp;F313,Sheet3!$A$2:$E$221,5,0)</f>
        <v>기모으기 하는동안 화염뎀 최대 9틱(3402뎀)</v>
      </c>
      <c r="N313">
        <v>12.233000000000001</v>
      </c>
      <c r="O313">
        <v>16.067</v>
      </c>
    </row>
    <row r="314" spans="1:15">
      <c r="A314" t="str">
        <f t="shared" si="8"/>
        <v>화룡(H)10231</v>
      </c>
      <c r="B314" s="16" t="s">
        <v>231</v>
      </c>
      <c r="C314" s="16">
        <v>10</v>
      </c>
      <c r="D314" s="16">
        <v>2</v>
      </c>
      <c r="E314" s="16">
        <v>3</v>
      </c>
      <c r="F314" s="16">
        <v>1</v>
      </c>
      <c r="G314" s="1">
        <f ca="1">SUMPRODUCT((Master!$A$2:$A$57=$B314)*(Master!$G$2:$G$57+공격력),(Master!$A$2:$A$57=$B314)*Master!$H$2:$H$57,(Master!$A$2:$A$57=$B314)*Master!$D$2:$D$57,(Master!$A$2:$A$57=$B314)*OFFSET(Master!$I$2:$I$57,0,D314-1),(Master!$A$2:$A$57=$B314)*OFFSET(Master!$L$2:$L$57,0,E314-1),(Master!$A$2:$A$57=$B314)*OFFSET(Master!$O$2:$O$57,0,F314-1))</f>
        <v>18698.068681318684</v>
      </c>
      <c r="H314" s="7">
        <f t="shared" si="9"/>
        <v>3.8339999999999996</v>
      </c>
      <c r="I314" s="79">
        <v>-200</v>
      </c>
      <c r="J314" s="78">
        <v>437</v>
      </c>
      <c r="K314" t="str">
        <f>VLOOKUP($B314&amp;1&amp;D314,Sheet3!$A$2:$E$221,5,0)</f>
        <v>40%로 버블획득</v>
      </c>
      <c r="L314" t="str">
        <f>VLOOKUP($B314&amp;2&amp;E314,Sheet3!$A$2:$E$221,5,0)</f>
        <v>체력 30%미만인 적에게 80%추가피해</v>
      </c>
      <c r="M314" t="str">
        <f>VLOOKUP($B314&amp;3&amp;F314,Sheet3!$A$2:$E$221,5,0)</f>
        <v>기모으기 하는동안 화염뎀 최대 9틱(3402뎀)</v>
      </c>
      <c r="N314">
        <v>12.233000000000001</v>
      </c>
      <c r="O314">
        <v>16.067</v>
      </c>
    </row>
    <row r="315" spans="1:15">
      <c r="A315" t="str">
        <f t="shared" si="8"/>
        <v>화룡(H)10311</v>
      </c>
      <c r="B315" s="16" t="s">
        <v>231</v>
      </c>
      <c r="C315" s="16">
        <v>10</v>
      </c>
      <c r="D315" s="16">
        <v>3</v>
      </c>
      <c r="E315" s="16">
        <v>1</v>
      </c>
      <c r="F315" s="16">
        <v>1</v>
      </c>
      <c r="G315" s="1">
        <f ca="1">SUMPRODUCT((Master!$A$2:$A$57=$B315)*(Master!$G$2:$G$57+공격력),(Master!$A$2:$A$57=$B315)*Master!$H$2:$H$57,(Master!$A$2:$A$57=$B315)*Master!$D$2:$D$57,(Master!$A$2:$A$57=$B315)*OFFSET(Master!$I$2:$I$57,0,D315-1),(Master!$A$2:$A$57=$B315)*OFFSET(Master!$L$2:$L$57,0,E315-1),(Master!$A$2:$A$57=$B315)*OFFSET(Master!$O$2:$O$57,0,F315-1))</f>
        <v>24307.489285714288</v>
      </c>
      <c r="H315" s="7">
        <f t="shared" si="9"/>
        <v>3.8339999999999996</v>
      </c>
      <c r="I315" s="79">
        <v>-200</v>
      </c>
      <c r="J315" s="78">
        <v>437</v>
      </c>
      <c r="K315" t="str">
        <f>VLOOKUP($B315&amp;1&amp;D315,Sheet3!$A$2:$E$221,5,0)</f>
        <v>승천할때 피격면역</v>
      </c>
      <c r="L315" t="str">
        <f>VLOOKUP($B315&amp;2&amp;E315,Sheet3!$A$2:$E$221,5,0)</f>
        <v>-</v>
      </c>
      <c r="M315" t="str">
        <f>VLOOKUP($B315&amp;3&amp;F315,Sheet3!$A$2:$E$221,5,0)</f>
        <v>기모으기 하는동안 화염뎀 최대 9틱(3402뎀)</v>
      </c>
      <c r="N315">
        <v>12.233000000000001</v>
      </c>
      <c r="O315">
        <v>16.067</v>
      </c>
    </row>
    <row r="316" spans="1:15">
      <c r="A316" t="str">
        <f t="shared" si="8"/>
        <v>화룡(H)10321</v>
      </c>
      <c r="B316" s="16" t="s">
        <v>231</v>
      </c>
      <c r="C316" s="16">
        <v>10</v>
      </c>
      <c r="D316" s="16">
        <v>3</v>
      </c>
      <c r="E316" s="16">
        <v>2</v>
      </c>
      <c r="F316" s="16">
        <v>1</v>
      </c>
      <c r="G316" s="1">
        <f ca="1">SUMPRODUCT((Master!$A$2:$A$57=$B316)*(Master!$G$2:$G$57+공격력),(Master!$A$2:$A$57=$B316)*Master!$H$2:$H$57,(Master!$A$2:$A$57=$B316)*Master!$D$2:$D$57,(Master!$A$2:$A$57=$B316)*OFFSET(Master!$I$2:$I$57,0,D316-1),(Master!$A$2:$A$57=$B316)*OFFSET(Master!$L$2:$L$57,0,E316-1),(Master!$A$2:$A$57=$B316)*OFFSET(Master!$O$2:$O$57,0,F316-1))</f>
        <v>18698.068681318684</v>
      </c>
      <c r="H316" s="7">
        <f t="shared" si="9"/>
        <v>3.8339999999999996</v>
      </c>
      <c r="I316" s="79">
        <v>-200</v>
      </c>
      <c r="J316" s="78">
        <v>437</v>
      </c>
      <c r="K316" t="str">
        <f>VLOOKUP($B316&amp;1&amp;D316,Sheet3!$A$2:$E$221,5,0)</f>
        <v>승천할때 피격면역</v>
      </c>
      <c r="L316" t="str">
        <f>VLOOKUP($B316&amp;2&amp;E316,Sheet3!$A$2:$E$221,5,0)</f>
        <v>화룡의 치명타 피해 100%증가(평타의 3배)</v>
      </c>
      <c r="M316" t="str">
        <f>VLOOKUP($B316&amp;3&amp;F316,Sheet3!$A$2:$E$221,5,0)</f>
        <v>기모으기 하는동안 화염뎀 최대 9틱(3402뎀)</v>
      </c>
      <c r="N316">
        <v>12.233000000000001</v>
      </c>
      <c r="O316">
        <v>16.067</v>
      </c>
    </row>
    <row r="317" spans="1:15">
      <c r="A317" t="str">
        <f t="shared" si="8"/>
        <v>화룡(H)10331</v>
      </c>
      <c r="B317" s="16" t="s">
        <v>231</v>
      </c>
      <c r="C317" s="16">
        <v>10</v>
      </c>
      <c r="D317" s="16">
        <v>3</v>
      </c>
      <c r="E317" s="16">
        <v>3</v>
      </c>
      <c r="F317" s="16">
        <v>1</v>
      </c>
      <c r="G317" s="1">
        <f ca="1">SUMPRODUCT((Master!$A$2:$A$57=$B317)*(Master!$G$2:$G$57+공격력),(Master!$A$2:$A$57=$B317)*Master!$H$2:$H$57,(Master!$A$2:$A$57=$B317)*Master!$D$2:$D$57,(Master!$A$2:$A$57=$B317)*OFFSET(Master!$I$2:$I$57,0,D317-1),(Master!$A$2:$A$57=$B317)*OFFSET(Master!$L$2:$L$57,0,E317-1),(Master!$A$2:$A$57=$B317)*OFFSET(Master!$O$2:$O$57,0,F317-1))</f>
        <v>18698.068681318684</v>
      </c>
      <c r="H317" s="7">
        <f t="shared" si="9"/>
        <v>3.8339999999999996</v>
      </c>
      <c r="I317" s="79">
        <v>-200</v>
      </c>
      <c r="J317" s="78">
        <v>437</v>
      </c>
      <c r="K317" t="str">
        <f>VLOOKUP($B317&amp;1&amp;D317,Sheet3!$A$2:$E$221,5,0)</f>
        <v>승천할때 피격면역</v>
      </c>
      <c r="L317" t="str">
        <f>VLOOKUP($B317&amp;2&amp;E317,Sheet3!$A$2:$E$221,5,0)</f>
        <v>체력 30%미만인 적에게 80%추가피해</v>
      </c>
      <c r="M317" t="str">
        <f>VLOOKUP($B317&amp;3&amp;F317,Sheet3!$A$2:$E$221,5,0)</f>
        <v>기모으기 하는동안 화염뎀 최대 9틱(3402뎀)</v>
      </c>
      <c r="N317">
        <v>12.233000000000001</v>
      </c>
      <c r="O317">
        <v>16.067</v>
      </c>
    </row>
    <row r="318" spans="1:15">
      <c r="A318" t="str">
        <f t="shared" si="8"/>
        <v>화조10111</v>
      </c>
      <c r="B318" s="16" t="s">
        <v>6</v>
      </c>
      <c r="C318" s="16">
        <v>10</v>
      </c>
      <c r="D318" s="16">
        <v>1</v>
      </c>
      <c r="E318" s="16">
        <v>1</v>
      </c>
      <c r="F318" s="16">
        <v>1</v>
      </c>
      <c r="G318" s="1">
        <f ca="1">SUMPRODUCT((Master!$A$2:$A$57=$B318)*(Master!$G$2:$G$57+공격력),(Master!$A$2:$A$57=$B318)*Master!$H$2:$H$57,(Master!$A$2:$A$57=$B318)*Master!$D$2:$D$57,(Master!$A$2:$A$57=$B318)*OFFSET(Master!$I$2:$I$57,0,D318-1),(Master!$A$2:$A$57=$B318)*OFFSET(Master!$L$2:$L$57,0,E318-1),(Master!$A$2:$A$57=$B318)*OFFSET(Master!$O$2:$O$57,0,F318-1))</f>
        <v>5718.93</v>
      </c>
      <c r="H318" s="7">
        <f t="shared" si="9"/>
        <v>2.5169999999999995</v>
      </c>
      <c r="I318" s="79">
        <v>38</v>
      </c>
      <c r="J318" s="78">
        <v>487</v>
      </c>
      <c r="K318" t="str">
        <f>VLOOKUP($B318&amp;1&amp;D318,Sheet3!$A$2:$E$221,5,0)</f>
        <v>공격범위 20%증가</v>
      </c>
      <c r="L318" t="str">
        <f>VLOOKUP($B318&amp;2&amp;E318,Sheet3!$A$2:$E$221,5,0)</f>
        <v>적을 띄움</v>
      </c>
      <c r="M318" t="str">
        <f>VLOOKUP($B318&amp;3&amp;F318,Sheet3!$A$2:$E$221,5,0)</f>
        <v>쿨 6초 증가. 2회 연속으로 쓸 수 있음</v>
      </c>
      <c r="N318">
        <v>8.9480000000000004</v>
      </c>
      <c r="O318">
        <v>11.465</v>
      </c>
    </row>
    <row r="319" spans="1:15">
      <c r="A319" t="str">
        <f t="shared" si="8"/>
        <v>화조10112</v>
      </c>
      <c r="B319" s="16" t="s">
        <v>6</v>
      </c>
      <c r="C319" s="16">
        <v>10</v>
      </c>
      <c r="D319" s="16">
        <v>1</v>
      </c>
      <c r="E319" s="16">
        <v>1</v>
      </c>
      <c r="F319" s="16">
        <v>2</v>
      </c>
      <c r="G319" s="1">
        <f ca="1">SUMPRODUCT((Master!$A$2:$A$57=$B319)*(Master!$G$2:$G$57+공격력),(Master!$A$2:$A$57=$B319)*Master!$H$2:$H$57,(Master!$A$2:$A$57=$B319)*Master!$D$2:$D$57,(Master!$A$2:$A$57=$B319)*OFFSET(Master!$I$2:$I$57,0,D319-1),(Master!$A$2:$A$57=$B319)*OFFSET(Master!$L$2:$L$57,0,E319-1),(Master!$A$2:$A$57=$B319)*OFFSET(Master!$O$2:$O$57,0,F319-1))</f>
        <v>5718.93</v>
      </c>
      <c r="H319" s="7">
        <f t="shared" si="9"/>
        <v>1.0499999999999998</v>
      </c>
      <c r="I319" s="79">
        <v>19</v>
      </c>
      <c r="J319" s="78">
        <v>510</v>
      </c>
      <c r="K319" t="str">
        <f>VLOOKUP($B319&amp;1&amp;D319,Sheet3!$A$2:$E$221,5,0)</f>
        <v>공격범위 20%증가</v>
      </c>
      <c r="L319" t="str">
        <f>VLOOKUP($B319&amp;2&amp;E319,Sheet3!$A$2:$E$221,5,0)</f>
        <v>적을 띄움</v>
      </c>
      <c r="M319" t="str">
        <f>VLOOKUP($B319&amp;3&amp;F319,Sheet3!$A$2:$E$221,5,0)</f>
        <v>공속 20%증가, 이동거리 5m증가</v>
      </c>
      <c r="N319" s="10">
        <v>4.032</v>
      </c>
      <c r="O319">
        <v>5.0819999999999999</v>
      </c>
    </row>
    <row r="320" spans="1:15">
      <c r="A320" t="str">
        <f t="shared" si="8"/>
        <v>화조10121</v>
      </c>
      <c r="B320" s="16" t="s">
        <v>6</v>
      </c>
      <c r="C320" s="16">
        <v>10</v>
      </c>
      <c r="D320" s="16">
        <v>1</v>
      </c>
      <c r="E320" s="16">
        <v>2</v>
      </c>
      <c r="F320" s="16">
        <v>1</v>
      </c>
      <c r="G320" s="1">
        <f ca="1">SUMPRODUCT((Master!$A$2:$A$57=$B320)*(Master!$G$2:$G$57+공격력),(Master!$A$2:$A$57=$B320)*Master!$H$2:$H$57,(Master!$A$2:$A$57=$B320)*Master!$D$2:$D$57,(Master!$A$2:$A$57=$B320)*OFFSET(Master!$I$2:$I$57,0,D320-1),(Master!$A$2:$A$57=$B320)*OFFSET(Master!$L$2:$L$57,0,E320-1),(Master!$A$2:$A$57=$B320)*OFFSET(Master!$O$2:$O$57,0,F320-1))</f>
        <v>6478.695999999999</v>
      </c>
      <c r="H320" s="7">
        <f t="shared" si="9"/>
        <v>2.5169999999999995</v>
      </c>
      <c r="I320" s="79">
        <v>38</v>
      </c>
      <c r="J320" s="78">
        <v>487</v>
      </c>
      <c r="K320" t="str">
        <f>VLOOKUP($B320&amp;1&amp;D320,Sheet3!$A$2:$E$221,5,0)</f>
        <v>공격범위 20%증가</v>
      </c>
      <c r="L320" t="str">
        <f>VLOOKUP($B320&amp;2&amp;E320,Sheet3!$A$2:$E$221,5,0)</f>
        <v>-</v>
      </c>
      <c r="M320" t="str">
        <f>VLOOKUP($B320&amp;3&amp;F320,Sheet3!$A$2:$E$221,5,0)</f>
        <v>쿨 6초 증가. 2회 연속으로 쓸 수 있음</v>
      </c>
      <c r="N320">
        <v>8.9480000000000004</v>
      </c>
      <c r="O320">
        <v>11.465</v>
      </c>
    </row>
    <row r="321" spans="1:15">
      <c r="A321" t="str">
        <f t="shared" si="8"/>
        <v>화조10122</v>
      </c>
      <c r="B321" s="16" t="s">
        <v>6</v>
      </c>
      <c r="C321" s="16">
        <v>10</v>
      </c>
      <c r="D321" s="16">
        <v>1</v>
      </c>
      <c r="E321" s="16">
        <v>2</v>
      </c>
      <c r="F321" s="16">
        <v>2</v>
      </c>
      <c r="G321" s="1">
        <f ca="1">SUMPRODUCT((Master!$A$2:$A$57=$B321)*(Master!$G$2:$G$57+공격력),(Master!$A$2:$A$57=$B321)*Master!$H$2:$H$57,(Master!$A$2:$A$57=$B321)*Master!$D$2:$D$57,(Master!$A$2:$A$57=$B321)*OFFSET(Master!$I$2:$I$57,0,D321-1),(Master!$A$2:$A$57=$B321)*OFFSET(Master!$L$2:$L$57,0,E321-1),(Master!$A$2:$A$57=$B321)*OFFSET(Master!$O$2:$O$57,0,F321-1))</f>
        <v>6478.695999999999</v>
      </c>
      <c r="H321" s="7">
        <f t="shared" si="9"/>
        <v>1.0499999999999998</v>
      </c>
      <c r="I321" s="79">
        <v>19</v>
      </c>
      <c r="J321" s="78">
        <v>510</v>
      </c>
      <c r="K321" t="str">
        <f>VLOOKUP($B321&amp;1&amp;D321,Sheet3!$A$2:$E$221,5,0)</f>
        <v>공격범위 20%증가</v>
      </c>
      <c r="L321" t="str">
        <f>VLOOKUP($B321&amp;2&amp;E321,Sheet3!$A$2:$E$221,5,0)</f>
        <v>-</v>
      </c>
      <c r="M321" t="str">
        <f>VLOOKUP($B321&amp;3&amp;F321,Sheet3!$A$2:$E$221,5,0)</f>
        <v>공속 20%증가, 이동거리 5m증가</v>
      </c>
      <c r="N321" s="10">
        <v>4.032</v>
      </c>
      <c r="O321">
        <v>5.0819999999999999</v>
      </c>
    </row>
    <row r="322" spans="1:15">
      <c r="A322" t="str">
        <f t="shared" ref="A322:A335" si="10">B322&amp;C322&amp;D322&amp;E322&amp;F322</f>
        <v>화조10131</v>
      </c>
      <c r="B322" s="16" t="s">
        <v>6</v>
      </c>
      <c r="C322" s="16">
        <v>10</v>
      </c>
      <c r="D322" s="16">
        <v>1</v>
      </c>
      <c r="E322" s="16">
        <v>3</v>
      </c>
      <c r="F322" s="16">
        <v>1</v>
      </c>
      <c r="G322" s="1">
        <f ca="1">SUMPRODUCT((Master!$A$2:$A$57=$B322)*(Master!$G$2:$G$57+공격력),(Master!$A$2:$A$57=$B322)*Master!$H$2:$H$57,(Master!$A$2:$A$57=$B322)*Master!$D$2:$D$57,(Master!$A$2:$A$57=$B322)*OFFSET(Master!$I$2:$I$57,0,D322-1),(Master!$A$2:$A$57=$B322)*OFFSET(Master!$L$2:$L$57,0,E322-1),(Master!$A$2:$A$57=$B322)*OFFSET(Master!$O$2:$O$57,0,F322-1))</f>
        <v>4627.6399999999994</v>
      </c>
      <c r="H322" s="7">
        <f t="shared" ref="H322:H335" si="11">(O322-N322)</f>
        <v>2.5169999999999995</v>
      </c>
      <c r="I322" s="79">
        <v>38</v>
      </c>
      <c r="J322" s="78">
        <v>487</v>
      </c>
      <c r="K322" t="str">
        <f>VLOOKUP($B322&amp;1&amp;D322,Sheet3!$A$2:$E$221,5,0)</f>
        <v>공격범위 20%증가</v>
      </c>
      <c r="L322" t="str">
        <f>VLOOKUP($B322&amp;2&amp;E322,Sheet3!$A$2:$E$221,5,0)</f>
        <v>동결 2초</v>
      </c>
      <c r="M322" t="str">
        <f>VLOOKUP($B322&amp;3&amp;F322,Sheet3!$A$2:$E$221,5,0)</f>
        <v>쿨 6초 증가. 2회 연속으로 쓸 수 있음</v>
      </c>
      <c r="N322">
        <v>8.9480000000000004</v>
      </c>
      <c r="O322">
        <v>11.465</v>
      </c>
    </row>
    <row r="323" spans="1:15">
      <c r="A323" t="str">
        <f t="shared" si="10"/>
        <v>화조10132</v>
      </c>
      <c r="B323" s="16" t="s">
        <v>6</v>
      </c>
      <c r="C323" s="16">
        <v>10</v>
      </c>
      <c r="D323" s="16">
        <v>1</v>
      </c>
      <c r="E323" s="16">
        <v>3</v>
      </c>
      <c r="F323" s="16">
        <v>2</v>
      </c>
      <c r="G323" s="1">
        <f ca="1">SUMPRODUCT((Master!$A$2:$A$57=$B323)*(Master!$G$2:$G$57+공격력),(Master!$A$2:$A$57=$B323)*Master!$H$2:$H$57,(Master!$A$2:$A$57=$B323)*Master!$D$2:$D$57,(Master!$A$2:$A$57=$B323)*OFFSET(Master!$I$2:$I$57,0,D323-1),(Master!$A$2:$A$57=$B323)*OFFSET(Master!$L$2:$L$57,0,E323-1),(Master!$A$2:$A$57=$B323)*OFFSET(Master!$O$2:$O$57,0,F323-1))</f>
        <v>4627.6399999999994</v>
      </c>
      <c r="H323" s="7">
        <f t="shared" si="11"/>
        <v>1.0499999999999998</v>
      </c>
      <c r="I323" s="79">
        <v>19</v>
      </c>
      <c r="J323" s="78">
        <v>510</v>
      </c>
      <c r="K323" t="str">
        <f>VLOOKUP($B323&amp;1&amp;D323,Sheet3!$A$2:$E$221,5,0)</f>
        <v>공격범위 20%증가</v>
      </c>
      <c r="L323" t="str">
        <f>VLOOKUP($B323&amp;2&amp;E323,Sheet3!$A$2:$E$221,5,0)</f>
        <v>동결 2초</v>
      </c>
      <c r="M323" t="str">
        <f>VLOOKUP($B323&amp;3&amp;F323,Sheet3!$A$2:$E$221,5,0)</f>
        <v>공속 20%증가, 이동거리 5m증가</v>
      </c>
      <c r="N323" s="10">
        <v>4.032</v>
      </c>
      <c r="O323">
        <v>5.0819999999999999</v>
      </c>
    </row>
    <row r="324" spans="1:15">
      <c r="A324" t="str">
        <f t="shared" si="10"/>
        <v>화조10211</v>
      </c>
      <c r="B324" s="16" t="s">
        <v>6</v>
      </c>
      <c r="C324" s="16">
        <v>10</v>
      </c>
      <c r="D324" s="16">
        <v>2</v>
      </c>
      <c r="E324" s="16">
        <v>1</v>
      </c>
      <c r="F324" s="16">
        <v>1</v>
      </c>
      <c r="G324" s="1">
        <f ca="1">SUMPRODUCT((Master!$A$2:$A$57=$B324)*(Master!$G$2:$G$57+공격력),(Master!$A$2:$A$57=$B324)*Master!$H$2:$H$57,(Master!$A$2:$A$57=$B324)*Master!$D$2:$D$57,(Master!$A$2:$A$57=$B324)*OFFSET(Master!$I$2:$I$57,0,D324-1),(Master!$A$2:$A$57=$B324)*OFFSET(Master!$L$2:$L$57,0,E324-1),(Master!$A$2:$A$57=$B324)*OFFSET(Master!$O$2:$O$57,0,F324-1))</f>
        <v>5718.93</v>
      </c>
      <c r="H324" s="7">
        <f t="shared" si="11"/>
        <v>2.5169999999999995</v>
      </c>
      <c r="I324" s="79">
        <v>38</v>
      </c>
      <c r="J324" s="78">
        <v>487</v>
      </c>
      <c r="K324" t="str">
        <f>VLOOKUP($B324&amp;1&amp;D324,Sheet3!$A$2:$E$221,5,0)</f>
        <v>-</v>
      </c>
      <c r="L324" t="str">
        <f>VLOOKUP($B324&amp;2&amp;E324,Sheet3!$A$2:$E$221,5,0)</f>
        <v>적을 띄움</v>
      </c>
      <c r="M324" t="str">
        <f>VLOOKUP($B324&amp;3&amp;F324,Sheet3!$A$2:$E$221,5,0)</f>
        <v>쿨 6초 증가. 2회 연속으로 쓸 수 있음</v>
      </c>
      <c r="N324">
        <v>8.9480000000000004</v>
      </c>
      <c r="O324">
        <v>11.465</v>
      </c>
    </row>
    <row r="325" spans="1:15">
      <c r="A325" t="str">
        <f t="shared" si="10"/>
        <v>화조10212</v>
      </c>
      <c r="B325" s="16" t="s">
        <v>6</v>
      </c>
      <c r="C325" s="16">
        <v>10</v>
      </c>
      <c r="D325" s="16">
        <v>2</v>
      </c>
      <c r="E325" s="16">
        <v>1</v>
      </c>
      <c r="F325" s="16">
        <v>2</v>
      </c>
      <c r="G325" s="1">
        <f ca="1">SUMPRODUCT((Master!$A$2:$A$57=$B325)*(Master!$G$2:$G$57+공격력),(Master!$A$2:$A$57=$B325)*Master!$H$2:$H$57,(Master!$A$2:$A$57=$B325)*Master!$D$2:$D$57,(Master!$A$2:$A$57=$B325)*OFFSET(Master!$I$2:$I$57,0,D325-1),(Master!$A$2:$A$57=$B325)*OFFSET(Master!$L$2:$L$57,0,E325-1),(Master!$A$2:$A$57=$B325)*OFFSET(Master!$O$2:$O$57,0,F325-1))</f>
        <v>5718.93</v>
      </c>
      <c r="H325" s="7">
        <f t="shared" si="11"/>
        <v>1.0499999999999998</v>
      </c>
      <c r="I325" s="79">
        <v>19</v>
      </c>
      <c r="J325" s="78">
        <v>510</v>
      </c>
      <c r="K325" t="str">
        <f>VLOOKUP($B325&amp;1&amp;D325,Sheet3!$A$2:$E$221,5,0)</f>
        <v>-</v>
      </c>
      <c r="L325" t="str">
        <f>VLOOKUP($B325&amp;2&amp;E325,Sheet3!$A$2:$E$221,5,0)</f>
        <v>적을 띄움</v>
      </c>
      <c r="M325" t="str">
        <f>VLOOKUP($B325&amp;3&amp;F325,Sheet3!$A$2:$E$221,5,0)</f>
        <v>공속 20%증가, 이동거리 5m증가</v>
      </c>
      <c r="N325" s="10">
        <v>4.032</v>
      </c>
      <c r="O325">
        <v>5.0819999999999999</v>
      </c>
    </row>
    <row r="326" spans="1:15">
      <c r="A326" t="str">
        <f t="shared" si="10"/>
        <v>화조10221</v>
      </c>
      <c r="B326" s="16" t="s">
        <v>6</v>
      </c>
      <c r="C326" s="16">
        <v>10</v>
      </c>
      <c r="D326" s="16">
        <v>2</v>
      </c>
      <c r="E326" s="16">
        <v>2</v>
      </c>
      <c r="F326" s="16">
        <v>1</v>
      </c>
      <c r="G326" s="1">
        <f ca="1">SUMPRODUCT((Master!$A$2:$A$57=$B326)*(Master!$G$2:$G$57+공격력),(Master!$A$2:$A$57=$B326)*Master!$H$2:$H$57,(Master!$A$2:$A$57=$B326)*Master!$D$2:$D$57,(Master!$A$2:$A$57=$B326)*OFFSET(Master!$I$2:$I$57,0,D326-1),(Master!$A$2:$A$57=$B326)*OFFSET(Master!$L$2:$L$57,0,E326-1),(Master!$A$2:$A$57=$B326)*OFFSET(Master!$O$2:$O$57,0,F326-1))</f>
        <v>6478.695999999999</v>
      </c>
      <c r="H326" s="7">
        <f t="shared" si="11"/>
        <v>2.5169999999999995</v>
      </c>
      <c r="I326" s="79">
        <v>38</v>
      </c>
      <c r="J326" s="78">
        <v>487</v>
      </c>
      <c r="K326" t="str">
        <f>VLOOKUP($B326&amp;1&amp;D326,Sheet3!$A$2:$E$221,5,0)</f>
        <v>-</v>
      </c>
      <c r="L326" t="str">
        <f>VLOOKUP($B326&amp;2&amp;E326,Sheet3!$A$2:$E$221,5,0)</f>
        <v>-</v>
      </c>
      <c r="M326" t="str">
        <f>VLOOKUP($B326&amp;3&amp;F326,Sheet3!$A$2:$E$221,5,0)</f>
        <v>쿨 6초 증가. 2회 연속으로 쓸 수 있음</v>
      </c>
      <c r="N326">
        <v>8.9480000000000004</v>
      </c>
      <c r="O326">
        <v>11.465</v>
      </c>
    </row>
    <row r="327" spans="1:15">
      <c r="A327" t="str">
        <f t="shared" si="10"/>
        <v>화조10222</v>
      </c>
      <c r="B327" s="16" t="s">
        <v>6</v>
      </c>
      <c r="C327" s="16">
        <v>10</v>
      </c>
      <c r="D327" s="16">
        <v>2</v>
      </c>
      <c r="E327" s="16">
        <v>2</v>
      </c>
      <c r="F327" s="16">
        <v>2</v>
      </c>
      <c r="G327" s="1">
        <f ca="1">SUMPRODUCT((Master!$A$2:$A$57=$B327)*(Master!$G$2:$G$57+공격력),(Master!$A$2:$A$57=$B327)*Master!$H$2:$H$57,(Master!$A$2:$A$57=$B327)*Master!$D$2:$D$57,(Master!$A$2:$A$57=$B327)*OFFSET(Master!$I$2:$I$57,0,D327-1),(Master!$A$2:$A$57=$B327)*OFFSET(Master!$L$2:$L$57,0,E327-1),(Master!$A$2:$A$57=$B327)*OFFSET(Master!$O$2:$O$57,0,F327-1))</f>
        <v>6478.695999999999</v>
      </c>
      <c r="H327" s="7">
        <f t="shared" si="11"/>
        <v>1.0499999999999998</v>
      </c>
      <c r="I327" s="79">
        <v>19</v>
      </c>
      <c r="J327" s="78">
        <v>510</v>
      </c>
      <c r="K327" t="str">
        <f>VLOOKUP($B327&amp;1&amp;D327,Sheet3!$A$2:$E$221,5,0)</f>
        <v>-</v>
      </c>
      <c r="L327" t="str">
        <f>VLOOKUP($B327&amp;2&amp;E327,Sheet3!$A$2:$E$221,5,0)</f>
        <v>-</v>
      </c>
      <c r="M327" t="str">
        <f>VLOOKUP($B327&amp;3&amp;F327,Sheet3!$A$2:$E$221,5,0)</f>
        <v>공속 20%증가, 이동거리 5m증가</v>
      </c>
      <c r="N327" s="10">
        <v>4.032</v>
      </c>
      <c r="O327">
        <v>5.0819999999999999</v>
      </c>
    </row>
    <row r="328" spans="1:15">
      <c r="A328" t="str">
        <f t="shared" si="10"/>
        <v>화조10231</v>
      </c>
      <c r="B328" s="16" t="s">
        <v>6</v>
      </c>
      <c r="C328" s="16">
        <v>10</v>
      </c>
      <c r="D328" s="16">
        <v>2</v>
      </c>
      <c r="E328" s="16">
        <v>3</v>
      </c>
      <c r="F328" s="16">
        <v>1</v>
      </c>
      <c r="G328" s="1">
        <f ca="1">SUMPRODUCT((Master!$A$2:$A$57=$B328)*(Master!$G$2:$G$57+공격력),(Master!$A$2:$A$57=$B328)*Master!$H$2:$H$57,(Master!$A$2:$A$57=$B328)*Master!$D$2:$D$57,(Master!$A$2:$A$57=$B328)*OFFSET(Master!$I$2:$I$57,0,D328-1),(Master!$A$2:$A$57=$B328)*OFFSET(Master!$L$2:$L$57,0,E328-1),(Master!$A$2:$A$57=$B328)*OFFSET(Master!$O$2:$O$57,0,F328-1))</f>
        <v>4627.6399999999994</v>
      </c>
      <c r="H328" s="7">
        <f t="shared" si="11"/>
        <v>2.5169999999999995</v>
      </c>
      <c r="I328" s="79">
        <v>38</v>
      </c>
      <c r="J328" s="78">
        <v>487</v>
      </c>
      <c r="K328" t="str">
        <f>VLOOKUP($B328&amp;1&amp;D328,Sheet3!$A$2:$E$221,5,0)</f>
        <v>-</v>
      </c>
      <c r="L328" t="str">
        <f>VLOOKUP($B328&amp;2&amp;E328,Sheet3!$A$2:$E$221,5,0)</f>
        <v>동결 2초</v>
      </c>
      <c r="M328" t="str">
        <f>VLOOKUP($B328&amp;3&amp;F328,Sheet3!$A$2:$E$221,5,0)</f>
        <v>쿨 6초 증가. 2회 연속으로 쓸 수 있음</v>
      </c>
      <c r="N328">
        <v>8.9480000000000004</v>
      </c>
      <c r="O328">
        <v>11.465</v>
      </c>
    </row>
    <row r="329" spans="1:15">
      <c r="A329" t="str">
        <f t="shared" si="10"/>
        <v>화조10232</v>
      </c>
      <c r="B329" s="16" t="s">
        <v>6</v>
      </c>
      <c r="C329" s="16">
        <v>10</v>
      </c>
      <c r="D329" s="16">
        <v>2</v>
      </c>
      <c r="E329" s="16">
        <v>3</v>
      </c>
      <c r="F329" s="16">
        <v>2</v>
      </c>
      <c r="G329" s="1">
        <f ca="1">SUMPRODUCT((Master!$A$2:$A$57=$B329)*(Master!$G$2:$G$57+공격력),(Master!$A$2:$A$57=$B329)*Master!$H$2:$H$57,(Master!$A$2:$A$57=$B329)*Master!$D$2:$D$57,(Master!$A$2:$A$57=$B329)*OFFSET(Master!$I$2:$I$57,0,D329-1),(Master!$A$2:$A$57=$B329)*OFFSET(Master!$L$2:$L$57,0,E329-1),(Master!$A$2:$A$57=$B329)*OFFSET(Master!$O$2:$O$57,0,F329-1))</f>
        <v>4627.6399999999994</v>
      </c>
      <c r="H329" s="7">
        <f t="shared" si="11"/>
        <v>1.0499999999999998</v>
      </c>
      <c r="I329" s="79">
        <v>19</v>
      </c>
      <c r="J329" s="78">
        <v>510</v>
      </c>
      <c r="K329" t="str">
        <f>VLOOKUP($B329&amp;1&amp;D329,Sheet3!$A$2:$E$221,5,0)</f>
        <v>-</v>
      </c>
      <c r="L329" t="str">
        <f>VLOOKUP($B329&amp;2&amp;E329,Sheet3!$A$2:$E$221,5,0)</f>
        <v>동결 2초</v>
      </c>
      <c r="M329" t="str">
        <f>VLOOKUP($B329&amp;3&amp;F329,Sheet3!$A$2:$E$221,5,0)</f>
        <v>공속 20%증가, 이동거리 5m증가</v>
      </c>
      <c r="N329" s="10">
        <v>4.032</v>
      </c>
      <c r="O329">
        <v>5.0819999999999999</v>
      </c>
    </row>
    <row r="330" spans="1:15">
      <c r="A330" t="str">
        <f t="shared" si="10"/>
        <v>화조10311</v>
      </c>
      <c r="B330" s="16" t="s">
        <v>6</v>
      </c>
      <c r="C330" s="16">
        <v>10</v>
      </c>
      <c r="D330" s="16">
        <v>3</v>
      </c>
      <c r="E330" s="16">
        <v>1</v>
      </c>
      <c r="F330" s="16">
        <v>1</v>
      </c>
      <c r="G330" s="1">
        <f ca="1">SUMPRODUCT((Master!$A$2:$A$57=$B330)*(Master!$G$2:$G$57+공격력),(Master!$A$2:$A$57=$B330)*Master!$H$2:$H$57,(Master!$A$2:$A$57=$B330)*Master!$D$2:$D$57,(Master!$A$2:$A$57=$B330)*OFFSET(Master!$I$2:$I$57,0,D330-1),(Master!$A$2:$A$57=$B330)*OFFSET(Master!$L$2:$L$57,0,E330-1),(Master!$A$2:$A$57=$B330)*OFFSET(Master!$O$2:$O$57,0,F330-1))</f>
        <v>5718.93</v>
      </c>
      <c r="H330" s="7">
        <f t="shared" si="11"/>
        <v>2.5169999999999995</v>
      </c>
      <c r="I330" s="79">
        <v>38</v>
      </c>
      <c r="J330" s="78">
        <v>487</v>
      </c>
      <c r="K330" t="str">
        <f>VLOOKUP($B330&amp;1&amp;D330,Sheet3!$A$2:$E$221,5,0)</f>
        <v>화상 5초(기본 총데미지의 1/3추정)</v>
      </c>
      <c r="L330" t="str">
        <f>VLOOKUP($B330&amp;2&amp;E330,Sheet3!$A$2:$E$221,5,0)</f>
        <v>적을 띄움</v>
      </c>
      <c r="M330" t="str">
        <f>VLOOKUP($B330&amp;3&amp;F330,Sheet3!$A$2:$E$221,5,0)</f>
        <v>쿨 6초 증가. 2회 연속으로 쓸 수 있음</v>
      </c>
      <c r="N330">
        <v>8.9480000000000004</v>
      </c>
      <c r="O330">
        <v>11.465</v>
      </c>
    </row>
    <row r="331" spans="1:15">
      <c r="A331" t="str">
        <f t="shared" si="10"/>
        <v>화조10312</v>
      </c>
      <c r="B331" s="16" t="s">
        <v>6</v>
      </c>
      <c r="C331" s="16">
        <v>10</v>
      </c>
      <c r="D331" s="16">
        <v>3</v>
      </c>
      <c r="E331" s="16">
        <v>1</v>
      </c>
      <c r="F331" s="16">
        <v>2</v>
      </c>
      <c r="G331" s="1">
        <f ca="1">SUMPRODUCT((Master!$A$2:$A$57=$B331)*(Master!$G$2:$G$57+공격력),(Master!$A$2:$A$57=$B331)*Master!$H$2:$H$57,(Master!$A$2:$A$57=$B331)*Master!$D$2:$D$57,(Master!$A$2:$A$57=$B331)*OFFSET(Master!$I$2:$I$57,0,D331-1),(Master!$A$2:$A$57=$B331)*OFFSET(Master!$L$2:$L$57,0,E331-1),(Master!$A$2:$A$57=$B331)*OFFSET(Master!$O$2:$O$57,0,F331-1))</f>
        <v>5718.93</v>
      </c>
      <c r="H331" s="7">
        <f t="shared" si="11"/>
        <v>1.0499999999999998</v>
      </c>
      <c r="I331" s="79">
        <v>19</v>
      </c>
      <c r="J331" s="78">
        <v>510</v>
      </c>
      <c r="K331" t="str">
        <f>VLOOKUP($B331&amp;1&amp;D331,Sheet3!$A$2:$E$221,5,0)</f>
        <v>화상 5초(기본 총데미지의 1/3추정)</v>
      </c>
      <c r="L331" t="str">
        <f>VLOOKUP($B331&amp;2&amp;E331,Sheet3!$A$2:$E$221,5,0)</f>
        <v>적을 띄움</v>
      </c>
      <c r="M331" t="str">
        <f>VLOOKUP($B331&amp;3&amp;F331,Sheet3!$A$2:$E$221,5,0)</f>
        <v>공속 20%증가, 이동거리 5m증가</v>
      </c>
      <c r="N331" s="10">
        <v>4.032</v>
      </c>
      <c r="O331">
        <v>5.0819999999999999</v>
      </c>
    </row>
    <row r="332" spans="1:15">
      <c r="A332" t="str">
        <f t="shared" si="10"/>
        <v>화조10321</v>
      </c>
      <c r="B332" s="16" t="s">
        <v>6</v>
      </c>
      <c r="C332" s="16">
        <v>10</v>
      </c>
      <c r="D332" s="16">
        <v>3</v>
      </c>
      <c r="E332" s="16">
        <v>2</v>
      </c>
      <c r="F332" s="16">
        <v>1</v>
      </c>
      <c r="G332" s="1">
        <f ca="1">SUMPRODUCT((Master!$A$2:$A$57=$B332)*(Master!$G$2:$G$57+공격력),(Master!$A$2:$A$57=$B332)*Master!$H$2:$H$57,(Master!$A$2:$A$57=$B332)*Master!$D$2:$D$57,(Master!$A$2:$A$57=$B332)*OFFSET(Master!$I$2:$I$57,0,D332-1),(Master!$A$2:$A$57=$B332)*OFFSET(Master!$L$2:$L$57,0,E332-1),(Master!$A$2:$A$57=$B332)*OFFSET(Master!$O$2:$O$57,0,F332-1))</f>
        <v>6478.695999999999</v>
      </c>
      <c r="H332" s="7">
        <f t="shared" si="11"/>
        <v>2.5169999999999995</v>
      </c>
      <c r="I332" s="79">
        <v>38</v>
      </c>
      <c r="J332" s="78">
        <v>487</v>
      </c>
      <c r="K332" t="str">
        <f>VLOOKUP($B332&amp;1&amp;D332,Sheet3!$A$2:$E$221,5,0)</f>
        <v>화상 5초(기본 총데미지의 1/3추정)</v>
      </c>
      <c r="L332" t="str">
        <f>VLOOKUP($B332&amp;2&amp;E332,Sheet3!$A$2:$E$221,5,0)</f>
        <v>-</v>
      </c>
      <c r="M332" t="str">
        <f>VLOOKUP($B332&amp;3&amp;F332,Sheet3!$A$2:$E$221,5,0)</f>
        <v>쿨 6초 증가. 2회 연속으로 쓸 수 있음</v>
      </c>
      <c r="N332">
        <v>8.9480000000000004</v>
      </c>
      <c r="O332">
        <v>11.465</v>
      </c>
    </row>
    <row r="333" spans="1:15">
      <c r="A333" t="str">
        <f t="shared" si="10"/>
        <v>화조10322</v>
      </c>
      <c r="B333" s="16" t="s">
        <v>6</v>
      </c>
      <c r="C333" s="16">
        <v>10</v>
      </c>
      <c r="D333" s="16">
        <v>3</v>
      </c>
      <c r="E333" s="16">
        <v>2</v>
      </c>
      <c r="F333" s="16">
        <v>2</v>
      </c>
      <c r="G333" s="1">
        <f ca="1">SUMPRODUCT((Master!$A$2:$A$57=$B333)*(Master!$G$2:$G$57+공격력),(Master!$A$2:$A$57=$B333)*Master!$H$2:$H$57,(Master!$A$2:$A$57=$B333)*Master!$D$2:$D$57,(Master!$A$2:$A$57=$B333)*OFFSET(Master!$I$2:$I$57,0,D333-1),(Master!$A$2:$A$57=$B333)*OFFSET(Master!$L$2:$L$57,0,E333-1),(Master!$A$2:$A$57=$B333)*OFFSET(Master!$O$2:$O$57,0,F333-1))</f>
        <v>6478.695999999999</v>
      </c>
      <c r="H333" s="7">
        <f t="shared" si="11"/>
        <v>1.0499999999999998</v>
      </c>
      <c r="I333" s="79">
        <v>19</v>
      </c>
      <c r="J333" s="78">
        <v>510</v>
      </c>
      <c r="K333" t="str">
        <f>VLOOKUP($B333&amp;1&amp;D333,Sheet3!$A$2:$E$221,5,0)</f>
        <v>화상 5초(기본 총데미지의 1/3추정)</v>
      </c>
      <c r="L333" t="str">
        <f>VLOOKUP($B333&amp;2&amp;E333,Sheet3!$A$2:$E$221,5,0)</f>
        <v>-</v>
      </c>
      <c r="M333" t="str">
        <f>VLOOKUP($B333&amp;3&amp;F333,Sheet3!$A$2:$E$221,5,0)</f>
        <v>공속 20%증가, 이동거리 5m증가</v>
      </c>
      <c r="N333" s="10">
        <v>4.032</v>
      </c>
      <c r="O333">
        <v>5.0819999999999999</v>
      </c>
    </row>
    <row r="334" spans="1:15">
      <c r="A334" t="str">
        <f t="shared" si="10"/>
        <v>화조10331</v>
      </c>
      <c r="B334" s="16" t="s">
        <v>6</v>
      </c>
      <c r="C334" s="16">
        <v>10</v>
      </c>
      <c r="D334" s="16">
        <v>3</v>
      </c>
      <c r="E334" s="16">
        <v>3</v>
      </c>
      <c r="F334" s="16">
        <v>1</v>
      </c>
      <c r="G334" s="1">
        <f ca="1">SUMPRODUCT((Master!$A$2:$A$57=$B334)*(Master!$G$2:$G$57+공격력),(Master!$A$2:$A$57=$B334)*Master!$H$2:$H$57,(Master!$A$2:$A$57=$B334)*Master!$D$2:$D$57,(Master!$A$2:$A$57=$B334)*OFFSET(Master!$I$2:$I$57,0,D334-1),(Master!$A$2:$A$57=$B334)*OFFSET(Master!$L$2:$L$57,0,E334-1),(Master!$A$2:$A$57=$B334)*OFFSET(Master!$O$2:$O$57,0,F334-1))</f>
        <v>4627.6399999999994</v>
      </c>
      <c r="H334" s="7">
        <f t="shared" si="11"/>
        <v>2.5169999999999995</v>
      </c>
      <c r="I334" s="79">
        <v>38</v>
      </c>
      <c r="J334" s="78">
        <v>487</v>
      </c>
      <c r="K334" t="str">
        <f>VLOOKUP($B334&amp;1&amp;D334,Sheet3!$A$2:$E$221,5,0)</f>
        <v>화상 5초(기본 총데미지의 1/3추정)</v>
      </c>
      <c r="L334" t="str">
        <f>VLOOKUP($B334&amp;2&amp;E334,Sheet3!$A$2:$E$221,5,0)</f>
        <v>동결 2초</v>
      </c>
      <c r="M334" t="str">
        <f>VLOOKUP($B334&amp;3&amp;F334,Sheet3!$A$2:$E$221,5,0)</f>
        <v>쿨 6초 증가. 2회 연속으로 쓸 수 있음</v>
      </c>
      <c r="N334">
        <v>8.9480000000000004</v>
      </c>
      <c r="O334">
        <v>11.465</v>
      </c>
    </row>
    <row r="335" spans="1:15">
      <c r="A335" t="str">
        <f t="shared" si="10"/>
        <v>화조10332</v>
      </c>
      <c r="B335" s="16" t="s">
        <v>6</v>
      </c>
      <c r="C335" s="16">
        <v>10</v>
      </c>
      <c r="D335" s="16">
        <v>3</v>
      </c>
      <c r="E335" s="16">
        <v>3</v>
      </c>
      <c r="F335" s="16">
        <v>2</v>
      </c>
      <c r="G335" s="1">
        <f ca="1">SUMPRODUCT((Master!$A$2:$A$57=$B335)*(Master!$G$2:$G$57+공격력),(Master!$A$2:$A$57=$B335)*Master!$H$2:$H$57,(Master!$A$2:$A$57=$B335)*Master!$D$2:$D$57,(Master!$A$2:$A$57=$B335)*OFFSET(Master!$I$2:$I$57,0,D335-1),(Master!$A$2:$A$57=$B335)*OFFSET(Master!$L$2:$L$57,0,E335-1),(Master!$A$2:$A$57=$B335)*OFFSET(Master!$O$2:$O$57,0,F335-1))</f>
        <v>4627.6399999999994</v>
      </c>
      <c r="H335" s="7">
        <f t="shared" si="11"/>
        <v>1.0499999999999998</v>
      </c>
      <c r="I335" s="79">
        <v>19</v>
      </c>
      <c r="J335" s="78">
        <v>510</v>
      </c>
      <c r="K335" t="str">
        <f>VLOOKUP($B335&amp;1&amp;D335,Sheet3!$A$2:$E$221,5,0)</f>
        <v>화상 5초(기본 총데미지의 1/3추정)</v>
      </c>
      <c r="L335" t="str">
        <f>VLOOKUP($B335&amp;2&amp;E335,Sheet3!$A$2:$E$221,5,0)</f>
        <v>동결 2초</v>
      </c>
      <c r="M335" t="str">
        <f>VLOOKUP($B335&amp;3&amp;F335,Sheet3!$A$2:$E$221,5,0)</f>
        <v>공속 20%증가, 이동거리 5m증가</v>
      </c>
      <c r="N335" s="10">
        <v>4.032</v>
      </c>
      <c r="O335">
        <v>5.0819999999999999</v>
      </c>
    </row>
    <row r="336" spans="1:15">
      <c r="J336" s="6"/>
    </row>
  </sheetData>
  <autoFilter ref="B1:M335" xr:uid="{0DBD27C0-5351-46C3-BEF4-044D3FA1DC63}">
    <sortState xmlns:xlrd2="http://schemas.microsoft.com/office/spreadsheetml/2017/richdata2" ref="B2:M335">
      <sortCondition ref="J1"/>
    </sortState>
  </autoFilter>
  <sortState xmlns:xlrd2="http://schemas.microsoft.com/office/spreadsheetml/2017/richdata2" ref="B2:O336">
    <sortCondition ref="B2:B336"/>
    <sortCondition ref="D2:D336"/>
    <sortCondition ref="E2:E336"/>
    <sortCondition ref="F2:F336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AB01-F4EB-4E25-8227-A5ACE35270E5}">
  <sheetPr codeName="Sheet4"/>
  <dimension ref="A1:Z58"/>
  <sheetViews>
    <sheetView workbookViewId="0">
      <pane ySplit="1" topLeftCell="A2" activePane="bottomLeft" state="frozen"/>
      <selection pane="bottomLeft" activeCell="R11" sqref="R11:Y40"/>
    </sheetView>
  </sheetViews>
  <sheetFormatPr defaultRowHeight="16.5"/>
  <cols>
    <col min="3" max="3" width="3.5" bestFit="1" customWidth="1"/>
    <col min="4" max="4" width="4.25" customWidth="1"/>
    <col min="5" max="6" width="5.625" customWidth="1"/>
    <col min="7" max="7" width="4.5" bestFit="1" customWidth="1"/>
    <col min="8" max="8" width="4.5" customWidth="1"/>
    <col min="9" max="14" width="5" style="7" customWidth="1"/>
    <col min="15" max="16" width="5" style="5" customWidth="1"/>
  </cols>
  <sheetData>
    <row r="1" spans="1:24">
      <c r="A1" s="12" t="s">
        <v>115</v>
      </c>
      <c r="B1" s="12" t="s">
        <v>116</v>
      </c>
      <c r="C1" s="12" t="s">
        <v>145</v>
      </c>
      <c r="D1" s="12" t="s">
        <v>212</v>
      </c>
      <c r="E1" s="16" t="s">
        <v>174</v>
      </c>
      <c r="F1" s="16" t="s">
        <v>175</v>
      </c>
      <c r="G1" s="12" t="s">
        <v>128</v>
      </c>
      <c r="H1" s="12" t="s">
        <v>129</v>
      </c>
      <c r="I1" s="7" t="s">
        <v>120</v>
      </c>
      <c r="J1" s="7" t="s">
        <v>121</v>
      </c>
      <c r="K1" s="7" t="s">
        <v>122</v>
      </c>
      <c r="L1" s="7" t="s">
        <v>123</v>
      </c>
      <c r="M1" s="7" t="s">
        <v>124</v>
      </c>
      <c r="N1" s="7" t="s">
        <v>125</v>
      </c>
      <c r="O1" s="7" t="s">
        <v>126</v>
      </c>
      <c r="P1" s="7" t="s">
        <v>127</v>
      </c>
    </row>
    <row r="2" spans="1:24">
      <c r="A2" s="12" t="s">
        <v>23</v>
      </c>
      <c r="B2" s="12" t="s">
        <v>117</v>
      </c>
      <c r="C2" s="12">
        <v>10</v>
      </c>
      <c r="D2" s="12">
        <v>1</v>
      </c>
      <c r="E2" s="16">
        <v>142</v>
      </c>
      <c r="F2" s="16">
        <v>279</v>
      </c>
      <c r="G2" s="6">
        <f>E2/H2</f>
        <v>188.64233576642337</v>
      </c>
      <c r="H2" s="14">
        <f>(F2-E2)/182</f>
        <v>0.75274725274725274</v>
      </c>
      <c r="I2" s="7">
        <v>1</v>
      </c>
      <c r="J2" s="7">
        <v>1</v>
      </c>
      <c r="K2" s="7">
        <v>1.1499999999999999</v>
      </c>
      <c r="L2" s="7">
        <v>1</v>
      </c>
      <c r="M2" s="7">
        <v>1.1499999999999999</v>
      </c>
      <c r="N2" s="7">
        <v>1</v>
      </c>
      <c r="O2" s="7">
        <v>1</v>
      </c>
      <c r="P2" s="7">
        <v>1</v>
      </c>
      <c r="R2" s="1"/>
      <c r="S2" s="1"/>
    </row>
    <row r="3" spans="1:24">
      <c r="A3" s="12" t="s">
        <v>23</v>
      </c>
      <c r="B3" s="12" t="s">
        <v>118</v>
      </c>
      <c r="C3" s="12">
        <v>10</v>
      </c>
      <c r="D3" s="12">
        <v>1</v>
      </c>
      <c r="E3" s="16">
        <v>204.15531335149862</v>
      </c>
      <c r="F3" s="16">
        <v>405</v>
      </c>
      <c r="G3" s="6">
        <f t="shared" ref="G3:G54" si="0">E3/H3</f>
        <v>184.99999999999994</v>
      </c>
      <c r="H3" s="14">
        <f t="shared" ref="H3:H54" si="1">(F3-E3)/182</f>
        <v>1.1035422343324253</v>
      </c>
      <c r="I3" s="7">
        <v>1</v>
      </c>
      <c r="J3" s="7">
        <v>1</v>
      </c>
      <c r="K3" s="7">
        <v>1.1499999999999999</v>
      </c>
      <c r="L3" s="7">
        <v>1</v>
      </c>
      <c r="M3" s="7">
        <f>M2*1.15</f>
        <v>1.3224999999999998</v>
      </c>
      <c r="N3" s="7">
        <v>1</v>
      </c>
      <c r="O3" s="7">
        <v>1</v>
      </c>
      <c r="P3" s="7">
        <v>1</v>
      </c>
      <c r="R3" s="1"/>
      <c r="S3" s="1"/>
    </row>
    <row r="4" spans="1:24">
      <c r="A4" s="12" t="s">
        <v>23</v>
      </c>
      <c r="B4" s="12" t="s">
        <v>119</v>
      </c>
      <c r="C4" s="12">
        <v>10</v>
      </c>
      <c r="D4" s="12">
        <v>1</v>
      </c>
      <c r="E4" s="16">
        <v>333</v>
      </c>
      <c r="F4" s="16">
        <v>660</v>
      </c>
      <c r="G4" s="6">
        <f t="shared" si="0"/>
        <v>185.33944954128441</v>
      </c>
      <c r="H4" s="14">
        <f t="shared" si="1"/>
        <v>1.7967032967032968</v>
      </c>
      <c r="I4" s="7">
        <v>1</v>
      </c>
      <c r="J4" s="7">
        <v>1</v>
      </c>
      <c r="K4" s="7">
        <v>1.1499999999999999</v>
      </c>
      <c r="L4" s="7">
        <v>1</v>
      </c>
      <c r="M4" s="7">
        <f>M3*1.15</f>
        <v>1.5208749999999995</v>
      </c>
      <c r="N4" s="7">
        <v>1</v>
      </c>
      <c r="O4" s="7">
        <v>1.5</v>
      </c>
      <c r="P4" s="7">
        <v>0</v>
      </c>
      <c r="R4" s="1"/>
      <c r="S4" s="1"/>
    </row>
    <row r="5" spans="1:24">
      <c r="A5" s="12" t="s">
        <v>146</v>
      </c>
      <c r="B5" s="12" t="s">
        <v>117</v>
      </c>
      <c r="C5" s="12">
        <v>10</v>
      </c>
      <c r="D5" s="12">
        <v>1</v>
      </c>
      <c r="E5" s="16">
        <v>133.15764805887423</v>
      </c>
      <c r="F5" s="16">
        <v>264.15598290598297</v>
      </c>
      <c r="G5" s="6">
        <f t="shared" si="0"/>
        <v>184.99999999999994</v>
      </c>
      <c r="H5" s="14">
        <f t="shared" si="1"/>
        <v>0.71977107058850953</v>
      </c>
      <c r="I5" s="7">
        <v>1</v>
      </c>
      <c r="J5" s="7">
        <v>1</v>
      </c>
      <c r="K5" s="7">
        <v>1.1499999999999999</v>
      </c>
      <c r="L5" s="7">
        <v>1</v>
      </c>
      <c r="M5" s="7">
        <v>1</v>
      </c>
      <c r="N5" s="7">
        <v>1</v>
      </c>
      <c r="O5" s="7">
        <v>0</v>
      </c>
      <c r="P5" s="7">
        <v>1</v>
      </c>
      <c r="R5" s="1"/>
      <c r="S5" s="1"/>
      <c r="T5" s="1"/>
    </row>
    <row r="6" spans="1:24">
      <c r="A6" s="12" t="s">
        <v>146</v>
      </c>
      <c r="B6" s="12" t="s">
        <v>118</v>
      </c>
      <c r="C6" s="12">
        <v>10</v>
      </c>
      <c r="D6" s="12">
        <v>1</v>
      </c>
      <c r="E6" s="16">
        <v>150.52603693611869</v>
      </c>
      <c r="F6" s="16">
        <v>298.61111111111114</v>
      </c>
      <c r="G6" s="6">
        <f t="shared" si="0"/>
        <v>184.99999999999997</v>
      </c>
      <c r="H6" s="14">
        <f t="shared" si="1"/>
        <v>0.81365425370874978</v>
      </c>
      <c r="I6" s="7">
        <v>1</v>
      </c>
      <c r="J6" s="7">
        <v>1</v>
      </c>
      <c r="K6" s="7">
        <v>1.1499999999999999</v>
      </c>
      <c r="L6" s="7">
        <v>1</v>
      </c>
      <c r="M6" s="7">
        <v>1.1499999999999999</v>
      </c>
      <c r="N6" s="7">
        <v>1</v>
      </c>
      <c r="O6" s="7">
        <v>0</v>
      </c>
      <c r="P6" s="7">
        <v>1</v>
      </c>
      <c r="R6" s="1"/>
    </row>
    <row r="7" spans="1:24">
      <c r="A7" s="12" t="s">
        <v>146</v>
      </c>
      <c r="B7" s="12" t="s">
        <v>119</v>
      </c>
      <c r="C7" s="12">
        <v>10</v>
      </c>
      <c r="D7" s="12">
        <v>1</v>
      </c>
      <c r="E7" s="16">
        <v>171.52966999697244</v>
      </c>
      <c r="F7" s="16">
        <v>340.27777777777777</v>
      </c>
      <c r="G7" s="6">
        <f t="shared" si="0"/>
        <v>185</v>
      </c>
      <c r="H7" s="14">
        <f t="shared" si="1"/>
        <v>0.92718740538904021</v>
      </c>
      <c r="I7" s="7">
        <v>1</v>
      </c>
      <c r="J7" s="7">
        <v>1</v>
      </c>
      <c r="K7" s="7">
        <v>1.1499999999999999</v>
      </c>
      <c r="L7" s="7">
        <v>1</v>
      </c>
      <c r="M7" s="7">
        <v>1.3224999999999998</v>
      </c>
      <c r="N7" s="7">
        <v>1</v>
      </c>
      <c r="O7" s="7">
        <v>0</v>
      </c>
      <c r="P7" s="7">
        <v>1</v>
      </c>
      <c r="R7" s="1"/>
    </row>
    <row r="8" spans="1:24">
      <c r="A8" s="12" t="s">
        <v>146</v>
      </c>
      <c r="B8" s="12" t="s">
        <v>147</v>
      </c>
      <c r="C8" s="12">
        <v>10</v>
      </c>
      <c r="D8" s="12">
        <v>1</v>
      </c>
      <c r="E8" s="16">
        <v>193.20649642516125</v>
      </c>
      <c r="F8" s="16">
        <v>383.27991452991449</v>
      </c>
      <c r="G8" s="6">
        <f t="shared" si="0"/>
        <v>185</v>
      </c>
      <c r="H8" s="14">
        <f t="shared" si="1"/>
        <v>1.0443594401360068</v>
      </c>
      <c r="I8" s="7">
        <v>1</v>
      </c>
      <c r="J8" s="7">
        <v>1</v>
      </c>
      <c r="K8" s="7">
        <v>1.1499999999999999</v>
      </c>
      <c r="L8" s="7">
        <v>1</v>
      </c>
      <c r="M8" s="7">
        <v>1.5208749999999995</v>
      </c>
      <c r="N8" s="7">
        <v>1</v>
      </c>
      <c r="O8" s="7">
        <v>0</v>
      </c>
      <c r="P8" s="7">
        <v>1</v>
      </c>
      <c r="R8" s="1"/>
    </row>
    <row r="9" spans="1:24">
      <c r="A9" s="12" t="s">
        <v>146</v>
      </c>
      <c r="B9" s="12" t="s">
        <v>148</v>
      </c>
      <c r="C9" s="12">
        <v>10</v>
      </c>
      <c r="D9" s="12">
        <v>1</v>
      </c>
      <c r="E9" s="16">
        <v>372.27593213628643</v>
      </c>
      <c r="F9" s="16">
        <v>738.51495726495739</v>
      </c>
      <c r="G9" s="6">
        <f t="shared" si="0"/>
        <v>185</v>
      </c>
      <c r="H9" s="14">
        <f t="shared" si="1"/>
        <v>2.0123023358718184</v>
      </c>
      <c r="I9" s="7">
        <v>1</v>
      </c>
      <c r="J9" s="7">
        <v>1</v>
      </c>
      <c r="K9" s="7">
        <v>1.1499999999999999</v>
      </c>
      <c r="L9" s="7">
        <v>1</v>
      </c>
      <c r="M9" s="7">
        <v>1.7490062499999994</v>
      </c>
      <c r="N9" s="7">
        <v>1</v>
      </c>
      <c r="O9" s="7">
        <v>0</v>
      </c>
      <c r="P9" s="7">
        <v>1</v>
      </c>
      <c r="R9" s="1"/>
    </row>
    <row r="10" spans="1:24">
      <c r="A10" s="12" t="s">
        <v>24</v>
      </c>
      <c r="B10" s="12" t="s">
        <v>133</v>
      </c>
      <c r="C10" s="12">
        <v>10</v>
      </c>
      <c r="D10" s="12">
        <v>1</v>
      </c>
      <c r="E10" s="16">
        <v>226</v>
      </c>
      <c r="F10" s="16">
        <v>449</v>
      </c>
      <c r="G10" s="6">
        <f t="shared" si="0"/>
        <v>184.44843049327352</v>
      </c>
      <c r="H10" s="14">
        <f t="shared" si="1"/>
        <v>1.2252747252747254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f>(SUMPRODUCT(D10:D11,G10:G11,H10:H11)*2.5-D11*G11*H11)/(D10*G10*H10)</f>
        <v>4.5907079646017701</v>
      </c>
      <c r="P10" s="7">
        <v>1</v>
      </c>
      <c r="Q10" s="1"/>
      <c r="R10" s="1"/>
      <c r="S10" s="1"/>
      <c r="U10" s="1"/>
    </row>
    <row r="11" spans="1:24">
      <c r="A11" s="12" t="s">
        <v>24</v>
      </c>
      <c r="B11" s="12" t="s">
        <v>134</v>
      </c>
      <c r="C11" s="12">
        <v>10</v>
      </c>
      <c r="D11" s="12">
        <v>1</v>
      </c>
      <c r="E11" s="16">
        <v>315</v>
      </c>
      <c r="F11" s="16">
        <v>624</v>
      </c>
      <c r="G11" s="6">
        <f t="shared" si="0"/>
        <v>185.53398058252426</v>
      </c>
      <c r="H11" s="14">
        <f t="shared" si="1"/>
        <v>1.6978021978021978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1"/>
      <c r="R11" s="1"/>
      <c r="S11" s="1"/>
      <c r="U11" s="1"/>
      <c r="V11" s="1"/>
      <c r="W11" s="1"/>
      <c r="X11" s="1"/>
    </row>
    <row r="12" spans="1:24">
      <c r="A12" s="12" t="s">
        <v>25</v>
      </c>
      <c r="B12" s="12" t="s">
        <v>135</v>
      </c>
      <c r="C12" s="12">
        <v>10</v>
      </c>
      <c r="D12" s="12">
        <v>3</v>
      </c>
      <c r="E12" s="16">
        <v>102</v>
      </c>
      <c r="F12" s="16">
        <v>202</v>
      </c>
      <c r="G12" s="6">
        <f t="shared" si="0"/>
        <v>185.64</v>
      </c>
      <c r="H12" s="14">
        <f t="shared" si="1"/>
        <v>0.5494505494505495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f>1+1/3</f>
        <v>1.3333333333333333</v>
      </c>
      <c r="P12" s="7">
        <v>0</v>
      </c>
      <c r="Q12" s="1"/>
      <c r="R12" s="1"/>
      <c r="S12" s="1"/>
      <c r="T12" s="1"/>
      <c r="U12" s="3"/>
    </row>
    <row r="13" spans="1:24">
      <c r="A13" s="12" t="s">
        <v>25</v>
      </c>
      <c r="B13" s="12" t="s">
        <v>136</v>
      </c>
      <c r="C13" s="12">
        <v>10</v>
      </c>
      <c r="D13" s="12">
        <v>1</v>
      </c>
      <c r="E13" s="16">
        <v>462</v>
      </c>
      <c r="F13" s="16">
        <v>914</v>
      </c>
      <c r="G13" s="6">
        <f t="shared" si="0"/>
        <v>186.02654867256638</v>
      </c>
      <c r="H13" s="14">
        <f t="shared" si="1"/>
        <v>2.4835164835164836</v>
      </c>
      <c r="I13" s="7">
        <v>1</v>
      </c>
      <c r="J13" s="7">
        <v>1</v>
      </c>
      <c r="K13" s="7">
        <v>1</v>
      </c>
      <c r="L13" s="7">
        <v>1.3</v>
      </c>
      <c r="M13" s="7">
        <v>1</v>
      </c>
      <c r="N13" s="7">
        <v>1</v>
      </c>
      <c r="O13" s="7">
        <v>1</v>
      </c>
      <c r="P13" s="7">
        <f>(H12*D12+H13)/H13*1.15</f>
        <v>1.9132743362831859</v>
      </c>
      <c r="Q13" s="1"/>
      <c r="R13" s="1"/>
      <c r="S13" s="1"/>
      <c r="T13" s="1"/>
    </row>
    <row r="14" spans="1:24">
      <c r="A14" s="12" t="s">
        <v>3</v>
      </c>
      <c r="B14" s="12" t="s">
        <v>137</v>
      </c>
      <c r="C14" s="12">
        <v>10</v>
      </c>
      <c r="D14" s="12">
        <v>4</v>
      </c>
      <c r="E14" s="16">
        <v>173</v>
      </c>
      <c r="F14" s="16">
        <v>343</v>
      </c>
      <c r="G14" s="6">
        <f t="shared" si="0"/>
        <v>185.21176470588236</v>
      </c>
      <c r="H14" s="14">
        <f t="shared" si="1"/>
        <v>0.93406593406593408</v>
      </c>
      <c r="I14" s="7">
        <v>1</v>
      </c>
      <c r="J14" s="7">
        <v>1</v>
      </c>
      <c r="K14" s="7">
        <v>1</v>
      </c>
      <c r="L14" s="7">
        <f>(SUMPRODUCT(D14:D15,G14:G15,H14:H15)*1.8-D15*G15*H15)/(D14*G14*H14)</f>
        <v>2.3341040462427749</v>
      </c>
      <c r="M14" s="7">
        <f>(SUMPRODUCT(D14:D15,G14:G15,H14:H15)*1.2-D15*G15*H15)/(D14*G14*H14)</f>
        <v>1.3335260115606935</v>
      </c>
      <c r="N14" s="7">
        <v>1.5</v>
      </c>
      <c r="O14" s="7">
        <v>1</v>
      </c>
      <c r="P14" s="7">
        <v>1</v>
      </c>
      <c r="Q14" s="1"/>
      <c r="R14" s="1">
        <f>(G14+615)*H14*D14*I14*L14*O14</f>
        <v>6978.5094073556511</v>
      </c>
      <c r="S14" s="1">
        <f>(167+615)*H14*D14*I14*L14</f>
        <v>6819.6877342310872</v>
      </c>
      <c r="T14" s="1"/>
      <c r="U14" s="63"/>
    </row>
    <row r="15" spans="1:24">
      <c r="A15" s="12" t="s">
        <v>3</v>
      </c>
      <c r="B15" s="12" t="s">
        <v>138</v>
      </c>
      <c r="C15" s="12">
        <v>10</v>
      </c>
      <c r="D15" s="12">
        <v>1</v>
      </c>
      <c r="E15" s="16">
        <v>462</v>
      </c>
      <c r="F15" s="16">
        <v>914</v>
      </c>
      <c r="G15" s="6">
        <f t="shared" si="0"/>
        <v>186.02654867256638</v>
      </c>
      <c r="H15" s="14">
        <f t="shared" si="1"/>
        <v>2.4835164835164836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1.5</v>
      </c>
      <c r="O15" s="7">
        <v>1.5</v>
      </c>
      <c r="P15" s="7">
        <v>1</v>
      </c>
      <c r="Q15" s="1"/>
      <c r="R15" s="1">
        <f>(G15+615)*H15*D15*I15*L15*O15</f>
        <v>2984.0439560439559</v>
      </c>
      <c r="S15" s="1">
        <f>(167+615)*H15*D15*I15*L15</f>
        <v>1942.1098901098901</v>
      </c>
      <c r="T15" s="1"/>
      <c r="U15" s="1"/>
    </row>
    <row r="16" spans="1:24">
      <c r="A16" s="12" t="s">
        <v>4</v>
      </c>
      <c r="B16" s="12" t="s">
        <v>135</v>
      </c>
      <c r="C16" s="12">
        <v>10</v>
      </c>
      <c r="D16" s="12">
        <v>1</v>
      </c>
      <c r="E16" s="16">
        <v>195.33378746594005</v>
      </c>
      <c r="F16" s="16">
        <v>387.5</v>
      </c>
      <c r="G16" s="6">
        <f t="shared" si="0"/>
        <v>185</v>
      </c>
      <c r="H16" s="14">
        <f t="shared" si="1"/>
        <v>1.055858310626703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1.5</v>
      </c>
      <c r="O16" s="7">
        <v>1</v>
      </c>
      <c r="P16" s="7">
        <v>1</v>
      </c>
      <c r="Q16" s="1"/>
      <c r="R16" s="1">
        <f>(G16+240)*H16*D16*I16*M16*O16</f>
        <v>448.73978201634878</v>
      </c>
      <c r="S16" s="1">
        <f>R16*0.4</f>
        <v>179.49591280653954</v>
      </c>
      <c r="T16" s="1"/>
      <c r="U16" s="1"/>
      <c r="V16" s="1"/>
    </row>
    <row r="17" spans="1:23">
      <c r="A17" s="12" t="s">
        <v>4</v>
      </c>
      <c r="B17" s="12" t="s">
        <v>139</v>
      </c>
      <c r="C17" s="12">
        <v>10</v>
      </c>
      <c r="D17" s="12">
        <v>1</v>
      </c>
      <c r="E17" s="16">
        <v>150</v>
      </c>
      <c r="F17" s="16">
        <v>298</v>
      </c>
      <c r="G17" s="6">
        <f t="shared" ref="G17" si="2">E17/H17</f>
        <v>184.45945945945945</v>
      </c>
      <c r="H17" s="14">
        <f t="shared" ref="H17" si="3">(F17-E17)/182</f>
        <v>0.81318681318681318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1.5</v>
      </c>
      <c r="O17" s="7">
        <v>1</v>
      </c>
      <c r="P17" s="7">
        <v>1</v>
      </c>
      <c r="Q17" s="1"/>
      <c r="R17" s="1">
        <f t="shared" ref="R17:R20" si="4">(G17+240)*H17*D17*I17*M17*O17</f>
        <v>345.16483516483515</v>
      </c>
      <c r="S17" s="1">
        <f t="shared" ref="S17:S20" si="5">R17*0.4</f>
        <v>138.06593406593407</v>
      </c>
      <c r="T17" s="1"/>
      <c r="U17" s="1"/>
      <c r="V17" s="1"/>
    </row>
    <row r="18" spans="1:23">
      <c r="A18" s="12" t="s">
        <v>4</v>
      </c>
      <c r="B18" s="12" t="s">
        <v>136</v>
      </c>
      <c r="C18" s="12">
        <v>10</v>
      </c>
      <c r="D18" s="12">
        <v>2</v>
      </c>
      <c r="E18" s="16">
        <v>190</v>
      </c>
      <c r="F18" s="16">
        <v>375</v>
      </c>
      <c r="G18" s="6">
        <f t="shared" si="0"/>
        <v>186.91891891891893</v>
      </c>
      <c r="H18" s="14">
        <f t="shared" si="1"/>
        <v>1.0164835164835164</v>
      </c>
      <c r="I18" s="7">
        <v>1</v>
      </c>
      <c r="J18" s="7">
        <v>1</v>
      </c>
      <c r="K18" s="7">
        <v>1</v>
      </c>
      <c r="L18" s="7">
        <v>1</v>
      </c>
      <c r="M18" s="7">
        <v>2</v>
      </c>
      <c r="N18" s="7">
        <v>1.5</v>
      </c>
      <c r="O18" s="7">
        <v>3.5</v>
      </c>
      <c r="P18" s="7">
        <v>0</v>
      </c>
      <c r="Q18" s="1"/>
      <c r="R18" s="1">
        <f t="shared" si="4"/>
        <v>6075.3846153846152</v>
      </c>
      <c r="S18" s="1">
        <f t="shared" si="5"/>
        <v>2430.1538461538462</v>
      </c>
      <c r="T18" s="1"/>
      <c r="U18" s="1"/>
      <c r="V18" s="1"/>
    </row>
    <row r="19" spans="1:23">
      <c r="A19" s="12" t="s">
        <v>4</v>
      </c>
      <c r="B19" s="12" t="s">
        <v>133</v>
      </c>
      <c r="C19" s="12">
        <v>10</v>
      </c>
      <c r="D19" s="12">
        <v>1</v>
      </c>
      <c r="E19" s="16">
        <v>182</v>
      </c>
      <c r="F19" s="16">
        <v>360</v>
      </c>
      <c r="G19" s="6">
        <f t="shared" si="0"/>
        <v>186.08988764044943</v>
      </c>
      <c r="H19" s="14">
        <f t="shared" si="1"/>
        <v>0.97802197802197799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1.5</v>
      </c>
      <c r="O19" s="7">
        <v>0</v>
      </c>
      <c r="P19" s="7">
        <v>0</v>
      </c>
      <c r="Q19" s="1"/>
      <c r="R19" s="1">
        <f t="shared" si="4"/>
        <v>0</v>
      </c>
      <c r="S19" s="1">
        <f t="shared" si="5"/>
        <v>0</v>
      </c>
      <c r="T19" s="1"/>
      <c r="U19" s="1"/>
      <c r="V19" s="1"/>
    </row>
    <row r="20" spans="1:23">
      <c r="A20" s="12" t="s">
        <v>4</v>
      </c>
      <c r="B20" s="12" t="s">
        <v>138</v>
      </c>
      <c r="C20" s="12">
        <v>10</v>
      </c>
      <c r="D20" s="12">
        <v>1</v>
      </c>
      <c r="E20" s="16">
        <v>605</v>
      </c>
      <c r="F20" s="16">
        <v>1198</v>
      </c>
      <c r="G20" s="6">
        <f t="shared" ref="G20" si="6">E20/H20</f>
        <v>185.68296795952782</v>
      </c>
      <c r="H20" s="14">
        <f t="shared" ref="H20" si="7">(F20-E20)/182</f>
        <v>3.2582417582417582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1.5</v>
      </c>
      <c r="O20" s="7">
        <v>0</v>
      </c>
      <c r="P20" s="7">
        <v>3</v>
      </c>
      <c r="Q20" s="1"/>
      <c r="R20" s="1">
        <f t="shared" si="4"/>
        <v>0</v>
      </c>
      <c r="S20" s="1">
        <f t="shared" si="5"/>
        <v>0</v>
      </c>
      <c r="T20" s="1"/>
      <c r="U20" s="1"/>
      <c r="V20" s="1"/>
    </row>
    <row r="21" spans="1:23">
      <c r="A21" s="12" t="s">
        <v>26</v>
      </c>
      <c r="B21" s="12" t="s">
        <v>140</v>
      </c>
      <c r="C21" s="12">
        <v>10</v>
      </c>
      <c r="D21" s="18">
        <v>1</v>
      </c>
      <c r="E21" s="16">
        <v>323</v>
      </c>
      <c r="F21" s="16">
        <v>654</v>
      </c>
      <c r="G21" s="6">
        <f t="shared" si="0"/>
        <v>186.38368580060421</v>
      </c>
      <c r="H21" s="14">
        <f>(F21-E21)/191</f>
        <v>1.7329842931937174</v>
      </c>
      <c r="I21" s="7">
        <v>1</v>
      </c>
      <c r="J21" s="7">
        <v>1</v>
      </c>
      <c r="K21" s="7">
        <v>1</v>
      </c>
      <c r="L21" s="7">
        <v>1</v>
      </c>
      <c r="M21" s="7">
        <v>1.4</v>
      </c>
      <c r="N21" s="7">
        <v>1</v>
      </c>
      <c r="O21" s="7">
        <v>1</v>
      </c>
      <c r="P21" s="7">
        <v>1</v>
      </c>
      <c r="Q21" s="1"/>
      <c r="R21" s="1"/>
      <c r="S21" s="1"/>
      <c r="T21" s="1"/>
      <c r="U21" s="2"/>
      <c r="V21" s="1"/>
      <c r="W21" s="1"/>
    </row>
    <row r="22" spans="1:23">
      <c r="A22" s="12" t="s">
        <v>5</v>
      </c>
      <c r="B22" s="12" t="s">
        <v>149</v>
      </c>
      <c r="C22" s="12">
        <v>10</v>
      </c>
      <c r="D22" s="12">
        <v>1</v>
      </c>
      <c r="E22" s="16">
        <v>3387.4659400544961</v>
      </c>
      <c r="F22" s="16">
        <v>6720</v>
      </c>
      <c r="G22" s="6">
        <f t="shared" si="0"/>
        <v>185</v>
      </c>
      <c r="H22" s="14">
        <f t="shared" si="1"/>
        <v>18.310626702997276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1"/>
      <c r="R22" s="1"/>
      <c r="S22" s="1"/>
      <c r="T22" s="63"/>
      <c r="U22" s="1"/>
    </row>
    <row r="23" spans="1:23">
      <c r="A23" s="12" t="s">
        <v>31</v>
      </c>
      <c r="B23" s="12" t="s">
        <v>139</v>
      </c>
      <c r="C23" s="12">
        <v>10</v>
      </c>
      <c r="D23" s="12">
        <v>5</v>
      </c>
      <c r="E23" s="16">
        <v>88</v>
      </c>
      <c r="F23" s="16">
        <v>174</v>
      </c>
      <c r="G23" s="6">
        <f t="shared" si="0"/>
        <v>186.23255813953489</v>
      </c>
      <c r="H23" s="14">
        <f t="shared" si="1"/>
        <v>0.47252747252747251</v>
      </c>
      <c r="I23" s="7">
        <v>1</v>
      </c>
      <c r="J23" s="7">
        <v>1</v>
      </c>
      <c r="K23" s="7">
        <v>1</v>
      </c>
      <c r="L23" s="7">
        <v>1</v>
      </c>
      <c r="M23" s="7">
        <v>2</v>
      </c>
      <c r="N23" s="7">
        <v>1</v>
      </c>
      <c r="O23" s="7">
        <v>1</v>
      </c>
      <c r="P23" s="7">
        <v>1</v>
      </c>
      <c r="Q23" s="1"/>
      <c r="R23" s="1"/>
      <c r="S23" s="1"/>
      <c r="T23" s="1"/>
      <c r="U23" s="1"/>
    </row>
    <row r="24" spans="1:23">
      <c r="A24" s="12" t="s">
        <v>31</v>
      </c>
      <c r="B24" s="12" t="s">
        <v>134</v>
      </c>
      <c r="C24" s="12">
        <v>10</v>
      </c>
      <c r="D24" s="12">
        <v>1</v>
      </c>
      <c r="E24" s="16">
        <v>656</v>
      </c>
      <c r="F24" s="16">
        <v>1299</v>
      </c>
      <c r="G24" s="6">
        <f t="shared" si="0"/>
        <v>185.6796267496112</v>
      </c>
      <c r="H24" s="14">
        <f t="shared" si="1"/>
        <v>3.5329670329670328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1.5</v>
      </c>
      <c r="Q24" s="1"/>
      <c r="R24" s="1"/>
      <c r="S24" s="1"/>
      <c r="T24" s="64"/>
      <c r="U24" s="1"/>
    </row>
    <row r="25" spans="1:23">
      <c r="A25" s="12" t="s">
        <v>27</v>
      </c>
      <c r="B25" s="12" t="s">
        <v>150</v>
      </c>
      <c r="C25" s="12">
        <v>10</v>
      </c>
      <c r="D25" s="12">
        <v>11</v>
      </c>
      <c r="E25" s="16">
        <v>167</v>
      </c>
      <c r="F25" s="16">
        <v>333</v>
      </c>
      <c r="G25" s="6">
        <f t="shared" si="0"/>
        <v>183.09638554216869</v>
      </c>
      <c r="H25" s="14">
        <f t="shared" si="1"/>
        <v>0.91208791208791207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1.3</v>
      </c>
      <c r="P25" s="7">
        <f>1.8</f>
        <v>1.8</v>
      </c>
      <c r="Q25" s="1"/>
      <c r="R25" s="1"/>
      <c r="S25" s="1"/>
      <c r="T25" s="1"/>
      <c r="U25" s="1"/>
    </row>
    <row r="26" spans="1:23">
      <c r="A26" s="16" t="s">
        <v>6</v>
      </c>
      <c r="B26" s="16" t="s">
        <v>259</v>
      </c>
      <c r="C26" s="16">
        <v>10</v>
      </c>
      <c r="D26" s="18">
        <v>1</v>
      </c>
      <c r="E26" s="16">
        <v>61</v>
      </c>
      <c r="F26" s="16">
        <v>134</v>
      </c>
      <c r="G26" s="6">
        <f t="shared" ref="G26" si="8">E26/H26</f>
        <v>188.01369863013699</v>
      </c>
      <c r="H26" s="14">
        <f>(F26-E26)/225</f>
        <v>0.32444444444444442</v>
      </c>
      <c r="I26" s="7">
        <v>1</v>
      </c>
      <c r="J26" s="7">
        <v>1</v>
      </c>
      <c r="K26" s="7">
        <v>1</v>
      </c>
      <c r="L26" s="7">
        <v>1</v>
      </c>
      <c r="M26" s="7">
        <v>1.4</v>
      </c>
      <c r="N26" s="7">
        <v>1</v>
      </c>
      <c r="O26" s="7">
        <v>1</v>
      </c>
      <c r="P26" s="7">
        <v>1</v>
      </c>
      <c r="Q26" s="1"/>
      <c r="R26" s="1"/>
      <c r="S26" s="1"/>
      <c r="T26" s="5"/>
      <c r="U26" s="1"/>
    </row>
    <row r="27" spans="1:23">
      <c r="A27" s="13" t="s">
        <v>6</v>
      </c>
      <c r="B27" s="13" t="s">
        <v>32</v>
      </c>
      <c r="C27" s="13">
        <v>10</v>
      </c>
      <c r="D27" s="18">
        <v>1</v>
      </c>
      <c r="E27" s="16">
        <v>1009</v>
      </c>
      <c r="F27" s="16">
        <v>2225</v>
      </c>
      <c r="G27" s="6">
        <f t="shared" si="0"/>
        <v>186.69819078947367</v>
      </c>
      <c r="H27" s="14">
        <f>(F27-E27)/225</f>
        <v>5.4044444444444446</v>
      </c>
      <c r="I27" s="7">
        <v>1</v>
      </c>
      <c r="J27" s="7">
        <v>1</v>
      </c>
      <c r="K27" s="7">
        <v>1</v>
      </c>
      <c r="L27" s="7">
        <v>1.25</v>
      </c>
      <c r="M27" s="7">
        <v>1.4</v>
      </c>
      <c r="N27" s="7">
        <v>1</v>
      </c>
      <c r="O27" s="7">
        <v>1</v>
      </c>
      <c r="P27" s="7">
        <v>1</v>
      </c>
      <c r="Q27" s="1"/>
      <c r="R27" s="1"/>
      <c r="S27" s="1"/>
      <c r="T27" s="5"/>
      <c r="U27" s="1"/>
    </row>
    <row r="28" spans="1:23">
      <c r="A28" s="12" t="s">
        <v>7</v>
      </c>
      <c r="B28" s="12" t="s">
        <v>152</v>
      </c>
      <c r="C28" s="12">
        <v>10</v>
      </c>
      <c r="D28" s="13">
        <v>1</v>
      </c>
      <c r="E28" s="16">
        <v>699</v>
      </c>
      <c r="F28" s="16">
        <v>1388</v>
      </c>
      <c r="G28" s="6">
        <f t="shared" si="0"/>
        <v>184.64150943396228</v>
      </c>
      <c r="H28" s="14">
        <f t="shared" si="1"/>
        <v>3.7857142857142856</v>
      </c>
      <c r="I28" s="7">
        <v>1</v>
      </c>
      <c r="J28" s="7">
        <v>1</v>
      </c>
      <c r="K28" s="7">
        <v>1</v>
      </c>
      <c r="L28" s="7">
        <v>2</v>
      </c>
      <c r="M28" s="7">
        <v>1</v>
      </c>
      <c r="N28" s="7">
        <v>1</v>
      </c>
      <c r="O28" s="7">
        <v>1</v>
      </c>
      <c r="P28" s="7">
        <v>1</v>
      </c>
      <c r="Q28" s="1"/>
      <c r="R28" s="1"/>
      <c r="S28" s="1"/>
      <c r="T28" s="86"/>
      <c r="U28" s="1"/>
    </row>
    <row r="29" spans="1:23">
      <c r="A29" s="12" t="s">
        <v>8</v>
      </c>
      <c r="B29" s="12" t="s">
        <v>153</v>
      </c>
      <c r="C29" s="12">
        <v>10</v>
      </c>
      <c r="D29" s="13">
        <v>2</v>
      </c>
      <c r="E29" s="16">
        <v>196</v>
      </c>
      <c r="F29" s="16">
        <v>387</v>
      </c>
      <c r="G29" s="6">
        <f t="shared" si="0"/>
        <v>186.76439790575915</v>
      </c>
      <c r="H29" s="14">
        <f t="shared" si="1"/>
        <v>1.0494505494505495</v>
      </c>
      <c r="I29" s="7">
        <v>1</v>
      </c>
      <c r="J29" s="7">
        <v>1.3</v>
      </c>
      <c r="K29" s="7">
        <v>1</v>
      </c>
      <c r="L29" s="7">
        <v>1</v>
      </c>
      <c r="M29" s="7">
        <v>1</v>
      </c>
      <c r="N29" s="7">
        <v>1</v>
      </c>
      <c r="O29" s="7">
        <v>0</v>
      </c>
      <c r="P29" s="7">
        <v>1</v>
      </c>
      <c r="R29" s="1">
        <f t="shared" ref="R29:R31" si="9">(G29+225)*H29*D29*N29</f>
        <v>864.25274725274733</v>
      </c>
      <c r="S29" s="1">
        <f t="shared" ref="S29:S32" si="10">R29*0.4</f>
        <v>345.70109890109893</v>
      </c>
      <c r="T29">
        <f>S29/2</f>
        <v>172.85054945054947</v>
      </c>
    </row>
    <row r="30" spans="1:23">
      <c r="A30" s="12" t="s">
        <v>8</v>
      </c>
      <c r="B30" s="12" t="s">
        <v>154</v>
      </c>
      <c r="C30" s="12">
        <v>10</v>
      </c>
      <c r="D30" s="13">
        <v>1</v>
      </c>
      <c r="E30" s="16">
        <v>257</v>
      </c>
      <c r="F30" s="16">
        <v>511</v>
      </c>
      <c r="G30" s="6">
        <f t="shared" si="0"/>
        <v>184.14960629921262</v>
      </c>
      <c r="H30" s="14">
        <f t="shared" si="1"/>
        <v>1.3956043956043955</v>
      </c>
      <c r="I30" s="7">
        <v>1</v>
      </c>
      <c r="J30" s="7">
        <v>1.3</v>
      </c>
      <c r="K30" s="7">
        <v>1</v>
      </c>
      <c r="L30" s="7">
        <v>1</v>
      </c>
      <c r="M30" s="7">
        <v>1</v>
      </c>
      <c r="N30" s="7">
        <v>1</v>
      </c>
      <c r="O30" s="7">
        <v>0</v>
      </c>
      <c r="P30" s="7">
        <v>1</v>
      </c>
      <c r="R30" s="1">
        <f t="shared" si="9"/>
        <v>571.01098901098896</v>
      </c>
      <c r="S30" s="1">
        <f t="shared" si="10"/>
        <v>228.4043956043956</v>
      </c>
    </row>
    <row r="31" spans="1:23">
      <c r="A31" s="12" t="s">
        <v>8</v>
      </c>
      <c r="B31" s="12" t="s">
        <v>155</v>
      </c>
      <c r="C31" s="12">
        <v>10</v>
      </c>
      <c r="D31" s="13">
        <v>1</v>
      </c>
      <c r="E31" s="16">
        <v>326.39645776566761</v>
      </c>
      <c r="F31" s="16">
        <v>647.5</v>
      </c>
      <c r="G31" s="6">
        <f t="shared" si="0"/>
        <v>185.00000000000003</v>
      </c>
      <c r="H31" s="14">
        <f t="shared" si="1"/>
        <v>1.7643051771117164</v>
      </c>
      <c r="I31" s="7">
        <v>1</v>
      </c>
      <c r="J31" s="7">
        <v>1.3</v>
      </c>
      <c r="K31" s="7">
        <v>1</v>
      </c>
      <c r="L31" s="7">
        <v>1</v>
      </c>
      <c r="M31" s="7">
        <v>1</v>
      </c>
      <c r="N31" s="7">
        <v>1</v>
      </c>
      <c r="O31" s="7">
        <v>0</v>
      </c>
      <c r="P31" s="7">
        <v>1</v>
      </c>
      <c r="R31" s="1">
        <f t="shared" si="9"/>
        <v>723.36512261580378</v>
      </c>
      <c r="S31" s="1">
        <f t="shared" si="10"/>
        <v>289.34604904632153</v>
      </c>
      <c r="V31">
        <v>180</v>
      </c>
      <c r="W31" s="87">
        <f>V31/S33</f>
        <v>0.1252041920779341</v>
      </c>
    </row>
    <row r="32" spans="1:23">
      <c r="A32" s="12" t="s">
        <v>8</v>
      </c>
      <c r="B32" s="12" t="s">
        <v>150</v>
      </c>
      <c r="C32" s="12">
        <v>10</v>
      </c>
      <c r="D32" s="13">
        <v>1</v>
      </c>
      <c r="E32" s="16">
        <v>648</v>
      </c>
      <c r="F32" s="16">
        <v>1285</v>
      </c>
      <c r="G32" s="6">
        <f t="shared" si="0"/>
        <v>185.14285714285714</v>
      </c>
      <c r="H32" s="14">
        <f t="shared" si="1"/>
        <v>3.5</v>
      </c>
      <c r="I32" s="7">
        <v>1</v>
      </c>
      <c r="J32" s="7">
        <v>1.3</v>
      </c>
      <c r="K32" s="7">
        <v>1</v>
      </c>
      <c r="L32" s="7">
        <v>1</v>
      </c>
      <c r="M32" s="7">
        <v>1</v>
      </c>
      <c r="N32" s="7">
        <v>1</v>
      </c>
      <c r="O32" s="7">
        <f>SUMPRODUCT(D29:D32,G29:G32,H29:H32)/(G32*H32)*2.25</f>
        <v>5.6367932561307903</v>
      </c>
      <c r="P32" s="7">
        <v>1</v>
      </c>
      <c r="R32" s="1">
        <f>(G32+225)*H32*D32*N32</f>
        <v>1435.5</v>
      </c>
      <c r="S32" s="1">
        <f t="shared" si="10"/>
        <v>574.20000000000005</v>
      </c>
      <c r="V32">
        <f>V31*4</f>
        <v>720</v>
      </c>
      <c r="W32">
        <f>V32/S33</f>
        <v>0.50081676831173638</v>
      </c>
    </row>
    <row r="33" spans="1:19">
      <c r="A33" s="12" t="s">
        <v>8</v>
      </c>
      <c r="B33" s="12" t="s">
        <v>156</v>
      </c>
      <c r="C33" s="12">
        <v>10</v>
      </c>
      <c r="D33" s="13">
        <v>1</v>
      </c>
      <c r="E33" s="16">
        <f>SUM(E29:E32,E29)*0.6</f>
        <v>974.03787465940047</v>
      </c>
      <c r="F33" s="16">
        <f>SUM(F29:F32,F29)*0.6</f>
        <v>1930.5</v>
      </c>
      <c r="G33" s="6">
        <f t="shared" si="0"/>
        <v>185.34439419112667</v>
      </c>
      <c r="H33" s="14">
        <f t="shared" si="1"/>
        <v>5.2552864029703272</v>
      </c>
      <c r="I33" s="7">
        <v>1</v>
      </c>
      <c r="J33" s="7">
        <v>1.3</v>
      </c>
      <c r="K33" s="7">
        <v>1</v>
      </c>
      <c r="L33" s="7">
        <v>1</v>
      </c>
      <c r="M33" s="7">
        <v>1</v>
      </c>
      <c r="N33" s="7">
        <v>1</v>
      </c>
      <c r="O33" s="7">
        <v>0</v>
      </c>
      <c r="P33" s="7">
        <v>1</v>
      </c>
      <c r="R33" s="1"/>
      <c r="S33" s="1">
        <f>SUM(S29:S32)</f>
        <v>1437.6515435518161</v>
      </c>
    </row>
    <row r="34" spans="1:19">
      <c r="A34" s="12" t="s">
        <v>28</v>
      </c>
      <c r="B34" s="12" t="s">
        <v>157</v>
      </c>
      <c r="C34" s="12">
        <v>10</v>
      </c>
      <c r="D34" s="12">
        <v>1</v>
      </c>
      <c r="E34" s="16">
        <v>120</v>
      </c>
      <c r="F34" s="16">
        <v>239</v>
      </c>
      <c r="G34" s="6">
        <f t="shared" si="0"/>
        <v>183.52941176470588</v>
      </c>
      <c r="H34" s="14">
        <f t="shared" si="1"/>
        <v>0.65384615384615385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R34" s="1"/>
    </row>
    <row r="35" spans="1:19">
      <c r="A35" s="12" t="s">
        <v>28</v>
      </c>
      <c r="B35" s="12" t="s">
        <v>158</v>
      </c>
      <c r="C35" s="12">
        <v>10</v>
      </c>
      <c r="D35" s="18">
        <v>1</v>
      </c>
      <c r="E35" s="16">
        <v>115</v>
      </c>
      <c r="F35" s="16">
        <v>229</v>
      </c>
      <c r="G35" s="6">
        <f t="shared" si="0"/>
        <v>183.59649122807016</v>
      </c>
      <c r="H35" s="14">
        <f t="shared" si="1"/>
        <v>0.62637362637362637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R35" s="1"/>
    </row>
    <row r="36" spans="1:19">
      <c r="A36" s="12" t="s">
        <v>28</v>
      </c>
      <c r="B36" s="12" t="s">
        <v>159</v>
      </c>
      <c r="C36" s="12">
        <v>10</v>
      </c>
      <c r="D36" s="12">
        <v>1</v>
      </c>
      <c r="E36" s="16">
        <v>1154.3596730245231</v>
      </c>
      <c r="F36" s="16">
        <v>2290</v>
      </c>
      <c r="G36" s="6">
        <f t="shared" si="0"/>
        <v>185</v>
      </c>
      <c r="H36" s="14">
        <f t="shared" si="1"/>
        <v>6.2397820163487738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1</v>
      </c>
      <c r="R36" s="1"/>
    </row>
    <row r="37" spans="1:19">
      <c r="A37" s="12" t="s">
        <v>9</v>
      </c>
      <c r="B37" s="12" t="s">
        <v>160</v>
      </c>
      <c r="C37" s="12">
        <v>10</v>
      </c>
      <c r="D37" s="13">
        <v>1</v>
      </c>
      <c r="E37" s="16">
        <v>1223</v>
      </c>
      <c r="F37" s="16">
        <v>2427</v>
      </c>
      <c r="G37" s="6">
        <f t="shared" si="0"/>
        <v>184.87209302325581</v>
      </c>
      <c r="H37" s="14">
        <f t="shared" si="1"/>
        <v>6.615384615384615</v>
      </c>
      <c r="I37" s="7">
        <v>1.3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1.5</v>
      </c>
      <c r="P37" s="7">
        <v>1</v>
      </c>
    </row>
    <row r="38" spans="1:19">
      <c r="A38" s="16" t="s">
        <v>10</v>
      </c>
      <c r="B38" s="16" t="s">
        <v>161</v>
      </c>
      <c r="C38" s="16">
        <v>10</v>
      </c>
      <c r="D38" s="16">
        <v>1</v>
      </c>
      <c r="E38" s="16">
        <v>88</v>
      </c>
      <c r="F38" s="16">
        <v>173</v>
      </c>
      <c r="G38" s="6">
        <f t="shared" ref="G38:G43" si="11">E38/H38</f>
        <v>188.42352941176469</v>
      </c>
      <c r="H38" s="14">
        <f t="shared" ref="H38:H43" si="12">(F38-E38)/182</f>
        <v>0.46703296703296704</v>
      </c>
      <c r="I38" s="7">
        <v>1</v>
      </c>
      <c r="J38" s="7">
        <v>1</v>
      </c>
      <c r="K38" s="7">
        <v>1</v>
      </c>
      <c r="L38" s="7">
        <v>1.3</v>
      </c>
      <c r="M38" s="7">
        <v>1</v>
      </c>
      <c r="N38" s="7">
        <v>1</v>
      </c>
      <c r="O38" s="7">
        <v>0</v>
      </c>
      <c r="P38" s="7">
        <v>1</v>
      </c>
      <c r="R38" s="1"/>
    </row>
    <row r="39" spans="1:19">
      <c r="A39" s="16" t="s">
        <v>10</v>
      </c>
      <c r="B39" s="16" t="s">
        <v>162</v>
      </c>
      <c r="C39" s="16">
        <v>10</v>
      </c>
      <c r="D39" s="16">
        <v>1</v>
      </c>
      <c r="E39" s="16">
        <v>150</v>
      </c>
      <c r="F39" s="16">
        <v>299</v>
      </c>
      <c r="G39" s="6">
        <f t="shared" si="11"/>
        <v>183.22147651006711</v>
      </c>
      <c r="H39" s="14">
        <f t="shared" si="12"/>
        <v>0.81868131868131866</v>
      </c>
      <c r="I39" s="7">
        <v>1</v>
      </c>
      <c r="J39" s="7">
        <v>1</v>
      </c>
      <c r="K39" s="7">
        <v>1</v>
      </c>
      <c r="L39" s="7">
        <v>1.3</v>
      </c>
      <c r="M39" s="7">
        <v>1</v>
      </c>
      <c r="N39" s="7">
        <v>1</v>
      </c>
      <c r="O39" s="7">
        <v>1.5</v>
      </c>
      <c r="P39" s="7">
        <v>1</v>
      </c>
      <c r="R39" s="1"/>
    </row>
    <row r="40" spans="1:19">
      <c r="A40" s="16" t="s">
        <v>10</v>
      </c>
      <c r="B40" s="16" t="s">
        <v>163</v>
      </c>
      <c r="C40" s="16">
        <v>10</v>
      </c>
      <c r="D40" s="16">
        <v>1</v>
      </c>
      <c r="E40" s="16">
        <v>218</v>
      </c>
      <c r="F40" s="16">
        <v>431</v>
      </c>
      <c r="G40" s="6">
        <f t="shared" si="11"/>
        <v>186.27230046948355</v>
      </c>
      <c r="H40" s="14">
        <f t="shared" si="12"/>
        <v>1.1703296703296704</v>
      </c>
      <c r="I40" s="7">
        <v>1</v>
      </c>
      <c r="J40" s="7">
        <v>1</v>
      </c>
      <c r="K40" s="7">
        <v>1</v>
      </c>
      <c r="L40" s="7">
        <v>1.3</v>
      </c>
      <c r="M40" s="7">
        <v>1</v>
      </c>
      <c r="N40" s="7">
        <v>1</v>
      </c>
      <c r="O40" s="7">
        <v>1.5</v>
      </c>
      <c r="P40" s="7">
        <v>1</v>
      </c>
      <c r="R40" s="1"/>
    </row>
    <row r="41" spans="1:19">
      <c r="A41" s="16" t="s">
        <v>10</v>
      </c>
      <c r="B41" s="16" t="s">
        <v>164</v>
      </c>
      <c r="C41" s="16">
        <v>10</v>
      </c>
      <c r="D41" s="16">
        <v>1</v>
      </c>
      <c r="E41" s="16">
        <v>259</v>
      </c>
      <c r="F41" s="16">
        <v>515</v>
      </c>
      <c r="G41" s="6">
        <f t="shared" si="11"/>
        <v>184.13281249999997</v>
      </c>
      <c r="H41" s="14">
        <f t="shared" si="12"/>
        <v>1.4065934065934067</v>
      </c>
      <c r="I41" s="7">
        <v>1</v>
      </c>
      <c r="J41" s="7">
        <v>1</v>
      </c>
      <c r="K41" s="7">
        <v>1</v>
      </c>
      <c r="L41" s="7">
        <v>1.3</v>
      </c>
      <c r="M41" s="7">
        <v>1</v>
      </c>
      <c r="N41" s="7">
        <v>1</v>
      </c>
      <c r="O41" s="7">
        <v>1.5</v>
      </c>
      <c r="P41" s="7">
        <v>1</v>
      </c>
      <c r="R41" s="1"/>
    </row>
    <row r="42" spans="1:19">
      <c r="A42" s="16" t="s">
        <v>10</v>
      </c>
      <c r="B42" s="16" t="s">
        <v>165</v>
      </c>
      <c r="C42" s="16">
        <v>10</v>
      </c>
      <c r="D42" s="16">
        <v>1</v>
      </c>
      <c r="E42" s="16">
        <v>369</v>
      </c>
      <c r="F42" s="16">
        <v>731</v>
      </c>
      <c r="G42" s="6">
        <f t="shared" si="11"/>
        <v>185.51933701657458</v>
      </c>
      <c r="H42" s="14">
        <f t="shared" si="12"/>
        <v>1.9890109890109891</v>
      </c>
      <c r="I42" s="7">
        <v>1</v>
      </c>
      <c r="J42" s="7">
        <v>1</v>
      </c>
      <c r="K42" s="7">
        <v>1</v>
      </c>
      <c r="L42" s="7">
        <v>1.3</v>
      </c>
      <c r="M42" s="7">
        <v>1</v>
      </c>
      <c r="N42" s="7">
        <v>1</v>
      </c>
      <c r="O42" s="7">
        <v>1.5</v>
      </c>
      <c r="P42" s="7">
        <v>1</v>
      </c>
      <c r="R42" s="1"/>
    </row>
    <row r="43" spans="1:19">
      <c r="A43" s="16" t="s">
        <v>10</v>
      </c>
      <c r="B43" s="16" t="s">
        <v>166</v>
      </c>
      <c r="C43" s="16">
        <v>10</v>
      </c>
      <c r="D43" s="16">
        <v>1</v>
      </c>
      <c r="E43" s="16">
        <v>1086</v>
      </c>
      <c r="F43" s="16">
        <v>2152</v>
      </c>
      <c r="G43" s="6">
        <f t="shared" si="11"/>
        <v>185.41463414634148</v>
      </c>
      <c r="H43" s="14">
        <f t="shared" si="12"/>
        <v>5.8571428571428568</v>
      </c>
      <c r="I43" s="7">
        <v>1</v>
      </c>
      <c r="J43" s="7">
        <v>1</v>
      </c>
      <c r="K43" s="7">
        <v>1</v>
      </c>
      <c r="L43" s="7">
        <v>1.3</v>
      </c>
      <c r="M43" s="7">
        <v>1</v>
      </c>
      <c r="N43" s="7">
        <v>1</v>
      </c>
      <c r="O43" s="7">
        <v>1.5</v>
      </c>
      <c r="P43" s="7">
        <v>1</v>
      </c>
      <c r="R43" s="1"/>
    </row>
    <row r="44" spans="1:19">
      <c r="A44" s="12" t="s">
        <v>231</v>
      </c>
      <c r="B44" s="12" t="s">
        <v>161</v>
      </c>
      <c r="C44" s="12">
        <v>10</v>
      </c>
      <c r="D44" s="13">
        <v>1</v>
      </c>
      <c r="E44" s="16">
        <v>88</v>
      </c>
      <c r="F44" s="16">
        <v>173</v>
      </c>
      <c r="G44" s="6">
        <f t="shared" si="0"/>
        <v>188.42352941176469</v>
      </c>
      <c r="H44" s="14">
        <f t="shared" si="1"/>
        <v>0.46703296703296704</v>
      </c>
      <c r="I44" s="7">
        <v>1</v>
      </c>
      <c r="J44" s="7">
        <v>1</v>
      </c>
      <c r="K44" s="7">
        <v>1</v>
      </c>
      <c r="L44" s="7">
        <v>1.3</v>
      </c>
      <c r="M44" s="7">
        <v>1</v>
      </c>
      <c r="N44" s="7">
        <v>1</v>
      </c>
      <c r="O44" s="7">
        <f>1.5*9</f>
        <v>13.5</v>
      </c>
      <c r="P44" s="7">
        <v>1</v>
      </c>
      <c r="R44" s="1"/>
    </row>
    <row r="45" spans="1:19">
      <c r="A45" s="12" t="s">
        <v>231</v>
      </c>
      <c r="B45" s="12" t="s">
        <v>162</v>
      </c>
      <c r="C45" s="12">
        <v>10</v>
      </c>
      <c r="D45" s="13">
        <v>1</v>
      </c>
      <c r="E45" s="16">
        <v>150</v>
      </c>
      <c r="F45" s="16">
        <v>299</v>
      </c>
      <c r="G45" s="6">
        <f t="shared" si="0"/>
        <v>183.22147651006711</v>
      </c>
      <c r="H45" s="14">
        <f t="shared" si="1"/>
        <v>0.81868131868131866</v>
      </c>
      <c r="I45" s="7">
        <v>1</v>
      </c>
      <c r="J45" s="7">
        <v>1</v>
      </c>
      <c r="K45" s="7">
        <v>1</v>
      </c>
      <c r="L45" s="7">
        <v>1.3</v>
      </c>
      <c r="M45" s="7">
        <v>1</v>
      </c>
      <c r="N45" s="7">
        <v>1</v>
      </c>
      <c r="O45" s="7">
        <v>1.5</v>
      </c>
      <c r="P45" s="7">
        <v>1</v>
      </c>
      <c r="R45" s="1"/>
    </row>
    <row r="46" spans="1:19">
      <c r="A46" s="12" t="s">
        <v>231</v>
      </c>
      <c r="B46" s="12" t="s">
        <v>163</v>
      </c>
      <c r="C46" s="12">
        <v>10</v>
      </c>
      <c r="D46" s="13">
        <v>1</v>
      </c>
      <c r="E46" s="16">
        <v>218</v>
      </c>
      <c r="F46" s="16">
        <v>431</v>
      </c>
      <c r="G46" s="6">
        <f t="shared" si="0"/>
        <v>186.27230046948355</v>
      </c>
      <c r="H46" s="14">
        <f t="shared" si="1"/>
        <v>1.1703296703296704</v>
      </c>
      <c r="I46" s="7">
        <v>1</v>
      </c>
      <c r="J46" s="7">
        <v>1</v>
      </c>
      <c r="K46" s="7">
        <v>1</v>
      </c>
      <c r="L46" s="7">
        <v>1.3</v>
      </c>
      <c r="M46" s="7">
        <v>1</v>
      </c>
      <c r="N46" s="7">
        <v>1</v>
      </c>
      <c r="O46" s="7">
        <v>1.5</v>
      </c>
      <c r="P46" s="7">
        <v>1</v>
      </c>
      <c r="R46" s="1"/>
    </row>
    <row r="47" spans="1:19">
      <c r="A47" s="12" t="s">
        <v>231</v>
      </c>
      <c r="B47" s="12" t="s">
        <v>164</v>
      </c>
      <c r="C47" s="12">
        <v>10</v>
      </c>
      <c r="D47" s="13">
        <v>1</v>
      </c>
      <c r="E47" s="16">
        <v>259</v>
      </c>
      <c r="F47" s="16">
        <v>515</v>
      </c>
      <c r="G47" s="6">
        <f t="shared" si="0"/>
        <v>184.13281249999997</v>
      </c>
      <c r="H47" s="14">
        <f t="shared" si="1"/>
        <v>1.4065934065934067</v>
      </c>
      <c r="I47" s="7">
        <v>1</v>
      </c>
      <c r="J47" s="7">
        <v>1</v>
      </c>
      <c r="K47" s="7">
        <v>1</v>
      </c>
      <c r="L47" s="7">
        <v>1.3</v>
      </c>
      <c r="M47" s="7">
        <v>1</v>
      </c>
      <c r="N47" s="7">
        <v>1</v>
      </c>
      <c r="O47" s="7">
        <v>1.5</v>
      </c>
      <c r="P47" s="7">
        <v>1</v>
      </c>
      <c r="R47" s="1"/>
    </row>
    <row r="48" spans="1:19">
      <c r="A48" s="12" t="s">
        <v>231</v>
      </c>
      <c r="B48" s="12" t="s">
        <v>165</v>
      </c>
      <c r="C48" s="12">
        <v>10</v>
      </c>
      <c r="D48" s="13">
        <v>1</v>
      </c>
      <c r="E48" s="16">
        <v>369</v>
      </c>
      <c r="F48" s="16">
        <v>731</v>
      </c>
      <c r="G48" s="6">
        <f t="shared" si="0"/>
        <v>185.51933701657458</v>
      </c>
      <c r="H48" s="14">
        <f t="shared" si="1"/>
        <v>1.9890109890109891</v>
      </c>
      <c r="I48" s="7">
        <v>1</v>
      </c>
      <c r="J48" s="7">
        <v>1</v>
      </c>
      <c r="K48" s="7">
        <v>1</v>
      </c>
      <c r="L48" s="7">
        <v>1.3</v>
      </c>
      <c r="M48" s="7">
        <v>1</v>
      </c>
      <c r="N48" s="7">
        <v>1</v>
      </c>
      <c r="O48" s="7">
        <v>1.5</v>
      </c>
      <c r="P48" s="7">
        <v>1</v>
      </c>
      <c r="R48" s="1"/>
    </row>
    <row r="49" spans="1:26">
      <c r="A49" s="12" t="s">
        <v>231</v>
      </c>
      <c r="B49" s="12" t="s">
        <v>166</v>
      </c>
      <c r="C49" s="12">
        <v>10</v>
      </c>
      <c r="D49" s="13">
        <v>1</v>
      </c>
      <c r="E49" s="16">
        <v>1086</v>
      </c>
      <c r="F49" s="16">
        <v>2152</v>
      </c>
      <c r="G49" s="6">
        <f t="shared" si="0"/>
        <v>185.41463414634148</v>
      </c>
      <c r="H49" s="14">
        <f t="shared" si="1"/>
        <v>5.8571428571428568</v>
      </c>
      <c r="I49" s="7">
        <v>1</v>
      </c>
      <c r="J49" s="7">
        <v>1</v>
      </c>
      <c r="K49" s="7">
        <v>1</v>
      </c>
      <c r="L49" s="7">
        <v>1.3</v>
      </c>
      <c r="M49" s="7">
        <v>1</v>
      </c>
      <c r="N49" s="7">
        <v>1</v>
      </c>
      <c r="O49" s="7">
        <v>1.5</v>
      </c>
      <c r="P49" s="7">
        <v>1</v>
      </c>
      <c r="R49" s="1"/>
    </row>
    <row r="50" spans="1:26">
      <c r="A50" s="12" t="s">
        <v>11</v>
      </c>
      <c r="B50" s="12" t="s">
        <v>167</v>
      </c>
      <c r="C50" s="12">
        <v>10</v>
      </c>
      <c r="D50" s="13">
        <v>1</v>
      </c>
      <c r="E50" s="16">
        <v>1092</v>
      </c>
      <c r="F50" s="16">
        <v>2162</v>
      </c>
      <c r="G50" s="6">
        <f t="shared" si="0"/>
        <v>185.74205607476634</v>
      </c>
      <c r="H50" s="14">
        <f t="shared" si="1"/>
        <v>5.8791208791208796</v>
      </c>
      <c r="I50" s="7">
        <v>1</v>
      </c>
      <c r="J50" s="7">
        <v>1</v>
      </c>
      <c r="K50" s="7">
        <v>1</v>
      </c>
      <c r="L50" s="7">
        <v>1</v>
      </c>
      <c r="M50" s="7">
        <v>1.8</v>
      </c>
      <c r="N50" s="7">
        <v>1</v>
      </c>
      <c r="O50" s="7">
        <v>1</v>
      </c>
      <c r="P50" s="7">
        <v>2</v>
      </c>
      <c r="R50" s="1"/>
      <c r="S50" s="1"/>
    </row>
    <row r="51" spans="1:26">
      <c r="A51" s="12" t="s">
        <v>12</v>
      </c>
      <c r="B51" s="12" t="s">
        <v>168</v>
      </c>
      <c r="C51" s="12">
        <v>10</v>
      </c>
      <c r="D51" s="18">
        <v>1</v>
      </c>
      <c r="E51" s="16">
        <v>186</v>
      </c>
      <c r="F51" s="16">
        <v>377</v>
      </c>
      <c r="G51" s="6">
        <f t="shared" si="0"/>
        <v>186</v>
      </c>
      <c r="H51" s="14">
        <f>(F51-E51)/191</f>
        <v>1</v>
      </c>
      <c r="I51" s="7">
        <v>1</v>
      </c>
      <c r="J51" s="7">
        <v>1</v>
      </c>
      <c r="K51" s="7">
        <v>1</v>
      </c>
      <c r="L51" s="17">
        <v>1</v>
      </c>
      <c r="M51" s="7">
        <v>1</v>
      </c>
      <c r="N51" s="7">
        <v>1</v>
      </c>
      <c r="O51" s="7">
        <v>1</v>
      </c>
      <c r="P51" s="7">
        <v>1</v>
      </c>
      <c r="R51" s="1"/>
      <c r="S51" s="1">
        <f>SUM(S52:S54)</f>
        <v>2585.6527472527473</v>
      </c>
    </row>
    <row r="52" spans="1:26">
      <c r="A52" s="12" t="s">
        <v>13</v>
      </c>
      <c r="B52" s="12" t="s">
        <v>169</v>
      </c>
      <c r="C52" s="12">
        <v>10</v>
      </c>
      <c r="D52" s="13">
        <v>1</v>
      </c>
      <c r="E52" s="16">
        <v>587</v>
      </c>
      <c r="F52" s="16">
        <v>1160</v>
      </c>
      <c r="G52" s="6">
        <f t="shared" si="0"/>
        <v>186.44677137870855</v>
      </c>
      <c r="H52" s="14">
        <f t="shared" si="1"/>
        <v>3.1483516483516483</v>
      </c>
      <c r="I52" s="7">
        <v>1.3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1.3</v>
      </c>
      <c r="P52" s="7">
        <v>1</v>
      </c>
      <c r="R52" s="1">
        <f>(G52+225)*H52*D52</f>
        <v>1295.3791208791208</v>
      </c>
      <c r="S52" s="1">
        <f>R52*0.4</f>
        <v>518.1516483516483</v>
      </c>
      <c r="V52" t="s">
        <v>263</v>
      </c>
      <c r="W52">
        <v>50</v>
      </c>
      <c r="X52">
        <f>W52*5</f>
        <v>250</v>
      </c>
      <c r="Y52" s="89">
        <f>W52/$S$51</f>
        <v>1.9337476795027845E-2</v>
      </c>
      <c r="Z52" s="89">
        <f>X52/$S$51</f>
        <v>9.6687383975139221E-2</v>
      </c>
    </row>
    <row r="53" spans="1:26">
      <c r="A53" s="12" t="s">
        <v>13</v>
      </c>
      <c r="B53" s="12" t="s">
        <v>170</v>
      </c>
      <c r="C53" s="12">
        <v>10</v>
      </c>
      <c r="D53" s="13">
        <v>1</v>
      </c>
      <c r="E53" s="16">
        <v>875</v>
      </c>
      <c r="F53" s="16">
        <v>1735</v>
      </c>
      <c r="G53" s="6">
        <f t="shared" si="0"/>
        <v>185.17441860465115</v>
      </c>
      <c r="H53" s="14">
        <f t="shared" si="1"/>
        <v>4.7252747252747254</v>
      </c>
      <c r="I53" s="7">
        <v>1.3</v>
      </c>
      <c r="J53" s="7">
        <v>1</v>
      </c>
      <c r="K53" s="7">
        <v>1.03</v>
      </c>
      <c r="L53" s="7">
        <v>1</v>
      </c>
      <c r="M53" s="7">
        <v>1</v>
      </c>
      <c r="N53" s="7">
        <v>1</v>
      </c>
      <c r="O53" s="7">
        <v>1.3</v>
      </c>
      <c r="P53" s="7">
        <v>1</v>
      </c>
      <c r="R53" s="1">
        <f t="shared" ref="R53:R54" si="13">(G53+225)*H53*D53</f>
        <v>1938.186813186813</v>
      </c>
      <c r="S53" s="1">
        <f t="shared" ref="S53:S54" si="14">R53*0.4</f>
        <v>775.27472527472526</v>
      </c>
      <c r="V53" t="s">
        <v>264</v>
      </c>
      <c r="W53">
        <f>W52*3</f>
        <v>150</v>
      </c>
      <c r="X53">
        <f t="shared" ref="X53:X54" si="15">W53*5</f>
        <v>750</v>
      </c>
      <c r="Y53" s="89">
        <f t="shared" ref="Y53:Y54" si="16">W53/$S$51</f>
        <v>5.8012430385083538E-2</v>
      </c>
      <c r="Z53" s="89">
        <f t="shared" ref="Z53:Z54" si="17">X53/$S$51</f>
        <v>0.29006215192541768</v>
      </c>
    </row>
    <row r="54" spans="1:26">
      <c r="A54" s="12" t="s">
        <v>13</v>
      </c>
      <c r="B54" s="12" t="s">
        <v>171</v>
      </c>
      <c r="C54" s="12">
        <v>10</v>
      </c>
      <c r="D54" s="13">
        <v>1</v>
      </c>
      <c r="E54" s="16">
        <v>1459</v>
      </c>
      <c r="F54" s="16">
        <v>2892</v>
      </c>
      <c r="G54" s="6">
        <f t="shared" si="0"/>
        <v>185.30216329378928</v>
      </c>
      <c r="H54" s="14">
        <f t="shared" si="1"/>
        <v>7.8736263736263732</v>
      </c>
      <c r="I54" s="7">
        <v>1.3</v>
      </c>
      <c r="J54" s="7">
        <v>1.25</v>
      </c>
      <c r="K54" s="7">
        <v>1.0609</v>
      </c>
      <c r="L54" s="7">
        <v>1</v>
      </c>
      <c r="M54" s="7">
        <v>1</v>
      </c>
      <c r="N54" s="7">
        <v>1</v>
      </c>
      <c r="O54" s="7">
        <v>1.3</v>
      </c>
      <c r="P54" s="7">
        <v>1</v>
      </c>
      <c r="R54" s="1">
        <f t="shared" si="13"/>
        <v>3230.565934065934</v>
      </c>
      <c r="S54" s="1">
        <f t="shared" si="14"/>
        <v>1292.2263736263737</v>
      </c>
      <c r="V54" t="s">
        <v>265</v>
      </c>
      <c r="W54">
        <f>W53*2</f>
        <v>300</v>
      </c>
      <c r="X54">
        <f t="shared" si="15"/>
        <v>1500</v>
      </c>
      <c r="Y54" s="89">
        <f t="shared" si="16"/>
        <v>0.11602486077016708</v>
      </c>
      <c r="Z54" s="89">
        <f t="shared" si="17"/>
        <v>0.58012430385083535</v>
      </c>
    </row>
    <row r="55" spans="1:26">
      <c r="A55" s="12" t="s">
        <v>13</v>
      </c>
      <c r="B55" s="12" t="s">
        <v>172</v>
      </c>
      <c r="C55" s="12">
        <v>10</v>
      </c>
      <c r="D55" s="13">
        <v>6</v>
      </c>
      <c r="E55" s="16">
        <v>291.71525885558583</v>
      </c>
      <c r="F55" s="16">
        <v>578.70000000000005</v>
      </c>
      <c r="G55" s="6">
        <f>E55/H55</f>
        <v>184.99999999999997</v>
      </c>
      <c r="H55" s="14">
        <f>(F55-E55)/182</f>
        <v>1.5768392370572211</v>
      </c>
      <c r="I55" s="7">
        <v>1.3</v>
      </c>
      <c r="J55" s="7">
        <v>1</v>
      </c>
      <c r="K55" s="7">
        <v>1.165</v>
      </c>
      <c r="L55" s="7">
        <v>1</v>
      </c>
      <c r="M55" s="7">
        <v>1</v>
      </c>
      <c r="N55" s="7">
        <v>1</v>
      </c>
      <c r="O55" s="7">
        <v>0</v>
      </c>
      <c r="P55" s="7">
        <v>1</v>
      </c>
      <c r="R55" s="1"/>
      <c r="S55" s="1"/>
    </row>
    <row r="56" spans="1:26">
      <c r="A56" s="16" t="s">
        <v>2</v>
      </c>
      <c r="B56" s="16" t="s">
        <v>209</v>
      </c>
      <c r="C56" s="16" t="s">
        <v>1</v>
      </c>
      <c r="D56" s="16">
        <v>10</v>
      </c>
      <c r="E56" s="16">
        <v>613</v>
      </c>
      <c r="F56" s="16">
        <v>2093</v>
      </c>
      <c r="G56" s="6">
        <f t="shared" ref="G56:G57" si="18">E56/H56</f>
        <v>185.55675675675676</v>
      </c>
      <c r="H56" s="14">
        <f>(F56-E56)/448</f>
        <v>3.3035714285714284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R56" s="1"/>
    </row>
    <row r="57" spans="1:26">
      <c r="A57" s="16" t="s">
        <v>2</v>
      </c>
      <c r="B57" s="16" t="s">
        <v>210</v>
      </c>
      <c r="C57" s="16" t="s">
        <v>198</v>
      </c>
      <c r="D57" s="16">
        <v>1</v>
      </c>
      <c r="E57" s="16">
        <v>4001</v>
      </c>
      <c r="F57" s="16">
        <v>13694</v>
      </c>
      <c r="G57" s="6">
        <f t="shared" si="18"/>
        <v>184.92190240379654</v>
      </c>
      <c r="H57" s="14">
        <f t="shared" ref="H57" si="19">(F57-E57)/448</f>
        <v>21.636160714285715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5">
        <v>1</v>
      </c>
      <c r="P57" s="5">
        <v>1</v>
      </c>
      <c r="R57" s="1"/>
    </row>
    <row r="58" spans="1:26">
      <c r="A58" s="16"/>
      <c r="B58" s="16"/>
      <c r="D58" s="16"/>
      <c r="E58" s="16"/>
      <c r="F58" s="16"/>
      <c r="G58" s="6"/>
      <c r="H58" s="14"/>
    </row>
  </sheetData>
  <phoneticPr fontId="1" type="noConversion"/>
  <conditionalFormatting sqref="I58:P1048576 I44:P56 I27:P37 I1:P25">
    <cfRule type="expression" dxfId="3" priority="6">
      <formula>OR(I1=0,I1=1)</formula>
    </cfRule>
  </conditionalFormatting>
  <conditionalFormatting sqref="I57:P57">
    <cfRule type="expression" dxfId="2" priority="4">
      <formula>OR(I57=0,I57=1)</formula>
    </cfRule>
  </conditionalFormatting>
  <conditionalFormatting sqref="I38:P43">
    <cfRule type="expression" dxfId="1" priority="3">
      <formula>OR(I38=0,I38=1)</formula>
    </cfRule>
  </conditionalFormatting>
  <conditionalFormatting sqref="I26:P26">
    <cfRule type="expression" dxfId="0" priority="1">
      <formula>OR(I26=0,I26=1)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F669F-6192-4A73-8465-5A6B20615811}">
  <sheetPr codeName="Sheet5"/>
  <dimension ref="A1:L222"/>
  <sheetViews>
    <sheetView workbookViewId="0">
      <pane ySplit="1" topLeftCell="A44" activePane="bottomLeft" state="frozen"/>
      <selection pane="bottomLeft" activeCell="E56" sqref="E56"/>
    </sheetView>
  </sheetViews>
  <sheetFormatPr defaultRowHeight="16.5"/>
  <cols>
    <col min="3" max="4" width="6.125" customWidth="1"/>
    <col min="5" max="5" width="68.5" bestFit="1" customWidth="1"/>
  </cols>
  <sheetData>
    <row r="1" spans="1:5" s="4" customFormat="1">
      <c r="A1" s="16"/>
      <c r="B1" s="4" t="s">
        <v>0</v>
      </c>
      <c r="C1" s="4" t="s">
        <v>30</v>
      </c>
      <c r="D1" s="4" t="s">
        <v>108</v>
      </c>
      <c r="E1" s="4" t="s">
        <v>33</v>
      </c>
    </row>
    <row r="2" spans="1:5">
      <c r="A2" t="str">
        <f>B2&amp;C2&amp;D2</f>
        <v>삼연11</v>
      </c>
      <c r="B2" t="s">
        <v>23</v>
      </c>
      <c r="C2" s="4">
        <v>1</v>
      </c>
      <c r="D2" s="4">
        <v>1</v>
      </c>
      <c r="E2" t="s">
        <v>269</v>
      </c>
    </row>
    <row r="3" spans="1:5">
      <c r="A3" t="str">
        <f t="shared" ref="A3:A66" si="0">B3&amp;C3&amp;D3</f>
        <v>삼연12</v>
      </c>
      <c r="B3" t="s">
        <v>23</v>
      </c>
      <c r="C3" s="4">
        <v>1</v>
      </c>
      <c r="D3" s="4">
        <v>2</v>
      </c>
      <c r="E3" t="s">
        <v>34</v>
      </c>
    </row>
    <row r="4" spans="1:5">
      <c r="A4" t="str">
        <f t="shared" si="0"/>
        <v>삼연13</v>
      </c>
      <c r="B4" t="s">
        <v>23</v>
      </c>
      <c r="C4" s="4">
        <v>1</v>
      </c>
      <c r="D4" s="4">
        <v>3</v>
      </c>
      <c r="E4" t="s">
        <v>1</v>
      </c>
    </row>
    <row r="5" spans="1:5">
      <c r="A5" t="str">
        <f t="shared" si="0"/>
        <v>삼연21</v>
      </c>
      <c r="B5" t="s">
        <v>23</v>
      </c>
      <c r="C5" s="4">
        <v>2</v>
      </c>
      <c r="D5" s="4">
        <v>1</v>
      </c>
      <c r="E5" t="s">
        <v>35</v>
      </c>
    </row>
    <row r="6" spans="1:5">
      <c r="A6" t="str">
        <f t="shared" si="0"/>
        <v>삼연22</v>
      </c>
      <c r="B6" t="s">
        <v>23</v>
      </c>
      <c r="C6" s="4">
        <v>2</v>
      </c>
      <c r="D6" s="4">
        <v>2</v>
      </c>
      <c r="E6" t="s">
        <v>36</v>
      </c>
    </row>
    <row r="7" spans="1:5">
      <c r="A7" t="str">
        <f t="shared" si="0"/>
        <v>삼연23</v>
      </c>
      <c r="B7" t="s">
        <v>23</v>
      </c>
      <c r="C7" s="4">
        <v>2</v>
      </c>
      <c r="D7" s="4">
        <v>3</v>
      </c>
      <c r="E7" t="s">
        <v>1</v>
      </c>
    </row>
    <row r="8" spans="1:5">
      <c r="A8" t="str">
        <f t="shared" si="0"/>
        <v>삼연31</v>
      </c>
      <c r="B8" s="9" t="s">
        <v>23</v>
      </c>
      <c r="C8" s="8">
        <v>3</v>
      </c>
      <c r="D8" s="8">
        <v>1</v>
      </c>
      <c r="E8" s="9" t="s">
        <v>39</v>
      </c>
    </row>
    <row r="9" spans="1:5">
      <c r="A9" t="str">
        <f t="shared" si="0"/>
        <v>삼연32</v>
      </c>
      <c r="B9" t="s">
        <v>23</v>
      </c>
      <c r="C9" s="4">
        <v>3</v>
      </c>
      <c r="D9" s="4">
        <v>2</v>
      </c>
      <c r="E9" t="s">
        <v>37</v>
      </c>
    </row>
    <row r="10" spans="1:5">
      <c r="A10" t="str">
        <f t="shared" si="0"/>
        <v>오연11</v>
      </c>
      <c r="B10" t="s">
        <v>183</v>
      </c>
      <c r="C10" s="16">
        <v>1</v>
      </c>
      <c r="D10" s="16">
        <v>1</v>
      </c>
      <c r="E10" t="s">
        <v>63</v>
      </c>
    </row>
    <row r="11" spans="1:5">
      <c r="A11" t="str">
        <f t="shared" si="0"/>
        <v>오연12</v>
      </c>
      <c r="B11" t="s">
        <v>183</v>
      </c>
      <c r="C11" s="16">
        <v>1</v>
      </c>
      <c r="D11" s="16">
        <v>2</v>
      </c>
      <c r="E11" t="s">
        <v>34</v>
      </c>
    </row>
    <row r="12" spans="1:5">
      <c r="A12" t="str">
        <f t="shared" si="0"/>
        <v>오연13</v>
      </c>
      <c r="B12" t="s">
        <v>183</v>
      </c>
      <c r="C12" s="16">
        <v>1</v>
      </c>
      <c r="D12" s="16">
        <v>3</v>
      </c>
      <c r="E12" t="s">
        <v>1</v>
      </c>
    </row>
    <row r="13" spans="1:5">
      <c r="A13" t="str">
        <f t="shared" si="0"/>
        <v>오연21</v>
      </c>
      <c r="B13" t="s">
        <v>183</v>
      </c>
      <c r="C13" s="16">
        <v>2</v>
      </c>
      <c r="D13" s="16">
        <v>1</v>
      </c>
      <c r="E13" t="s">
        <v>35</v>
      </c>
    </row>
    <row r="14" spans="1:5">
      <c r="A14" t="str">
        <f t="shared" si="0"/>
        <v>오연22</v>
      </c>
      <c r="B14" t="s">
        <v>183</v>
      </c>
      <c r="C14" s="16">
        <v>2</v>
      </c>
      <c r="D14" s="16">
        <v>2</v>
      </c>
      <c r="E14" t="s">
        <v>36</v>
      </c>
    </row>
    <row r="15" spans="1:5">
      <c r="A15" t="str">
        <f t="shared" si="0"/>
        <v>오연23</v>
      </c>
      <c r="B15" t="s">
        <v>183</v>
      </c>
      <c r="C15" s="16">
        <v>2</v>
      </c>
      <c r="D15" s="16">
        <v>3</v>
      </c>
      <c r="E15" t="s">
        <v>1</v>
      </c>
    </row>
    <row r="16" spans="1:5">
      <c r="A16" t="str">
        <f t="shared" si="0"/>
        <v>오연31</v>
      </c>
      <c r="B16" s="9" t="s">
        <v>183</v>
      </c>
      <c r="C16" s="8">
        <v>3</v>
      </c>
      <c r="D16" s="8">
        <v>1</v>
      </c>
      <c r="E16" s="9" t="s">
        <v>39</v>
      </c>
    </row>
    <row r="17" spans="1:5">
      <c r="A17" t="str">
        <f t="shared" si="0"/>
        <v>오연32</v>
      </c>
      <c r="B17" t="s">
        <v>183</v>
      </c>
      <c r="C17" s="16">
        <v>3</v>
      </c>
      <c r="D17" s="16">
        <v>2</v>
      </c>
      <c r="E17" t="s">
        <v>37</v>
      </c>
    </row>
    <row r="18" spans="1:5">
      <c r="A18" t="str">
        <f t="shared" si="0"/>
        <v>붕천11</v>
      </c>
      <c r="B18" t="s">
        <v>24</v>
      </c>
      <c r="C18" s="4">
        <v>1</v>
      </c>
      <c r="D18" s="4">
        <v>1</v>
      </c>
      <c r="E18" t="s">
        <v>1</v>
      </c>
    </row>
    <row r="19" spans="1:5">
      <c r="A19" t="str">
        <f t="shared" si="0"/>
        <v>붕천12</v>
      </c>
      <c r="B19" t="s">
        <v>24</v>
      </c>
      <c r="C19" s="4">
        <v>1</v>
      </c>
      <c r="D19" s="4">
        <v>2</v>
      </c>
      <c r="E19" t="s">
        <v>40</v>
      </c>
    </row>
    <row r="20" spans="1:5">
      <c r="A20" t="str">
        <f t="shared" si="0"/>
        <v>붕천13</v>
      </c>
      <c r="B20" t="s">
        <v>24</v>
      </c>
      <c r="C20" s="4">
        <v>1</v>
      </c>
      <c r="D20" s="4">
        <v>3</v>
      </c>
      <c r="E20" t="s">
        <v>38</v>
      </c>
    </row>
    <row r="21" spans="1:5">
      <c r="A21" t="str">
        <f t="shared" si="0"/>
        <v>붕천21</v>
      </c>
      <c r="B21" t="s">
        <v>24</v>
      </c>
      <c r="C21" s="4">
        <v>2</v>
      </c>
      <c r="D21" s="4">
        <v>1</v>
      </c>
      <c r="E21" t="s">
        <v>64</v>
      </c>
    </row>
    <row r="22" spans="1:5">
      <c r="A22" t="str">
        <f t="shared" si="0"/>
        <v>붕천22</v>
      </c>
      <c r="B22" t="s">
        <v>24</v>
      </c>
      <c r="C22" s="4">
        <v>2</v>
      </c>
      <c r="D22" s="4">
        <v>2</v>
      </c>
      <c r="E22" t="s">
        <v>41</v>
      </c>
    </row>
    <row r="23" spans="1:5">
      <c r="A23" t="str">
        <f t="shared" si="0"/>
        <v>붕천23</v>
      </c>
      <c r="B23" t="s">
        <v>24</v>
      </c>
      <c r="C23" s="4">
        <v>2</v>
      </c>
      <c r="D23" s="4">
        <v>3</v>
      </c>
      <c r="E23" t="s">
        <v>42</v>
      </c>
    </row>
    <row r="24" spans="1:5">
      <c r="A24" t="str">
        <f t="shared" si="0"/>
        <v>붕천31</v>
      </c>
      <c r="B24" t="s">
        <v>24</v>
      </c>
      <c r="C24" s="4">
        <v>3</v>
      </c>
      <c r="D24" s="4">
        <v>1</v>
      </c>
      <c r="E24" t="s">
        <v>1</v>
      </c>
    </row>
    <row r="25" spans="1:5">
      <c r="A25" t="str">
        <f t="shared" si="0"/>
        <v>붕천32</v>
      </c>
      <c r="B25" t="s">
        <v>24</v>
      </c>
      <c r="C25" s="4">
        <v>3</v>
      </c>
      <c r="D25" s="4">
        <v>2</v>
      </c>
      <c r="E25" t="s">
        <v>43</v>
      </c>
    </row>
    <row r="26" spans="1:5">
      <c r="A26" t="str">
        <f t="shared" si="0"/>
        <v>뇌명11</v>
      </c>
      <c r="B26" t="s">
        <v>25</v>
      </c>
      <c r="C26" s="4">
        <v>1</v>
      </c>
      <c r="D26" s="4">
        <v>1</v>
      </c>
      <c r="E26" t="s">
        <v>44</v>
      </c>
    </row>
    <row r="27" spans="1:5">
      <c r="A27" t="str">
        <f t="shared" si="0"/>
        <v>뇌명12</v>
      </c>
      <c r="B27" t="s">
        <v>25</v>
      </c>
      <c r="C27" s="4">
        <v>1</v>
      </c>
      <c r="D27" s="4">
        <v>2</v>
      </c>
      <c r="E27" t="s">
        <v>45</v>
      </c>
    </row>
    <row r="28" spans="1:5">
      <c r="A28" t="str">
        <f t="shared" si="0"/>
        <v>뇌명13</v>
      </c>
      <c r="B28" t="s">
        <v>25</v>
      </c>
      <c r="C28" s="4">
        <v>1</v>
      </c>
      <c r="D28" s="4">
        <v>3</v>
      </c>
      <c r="E28" t="s">
        <v>1</v>
      </c>
    </row>
    <row r="29" spans="1:5">
      <c r="A29" t="str">
        <f t="shared" si="0"/>
        <v>뇌명21</v>
      </c>
      <c r="B29" t="s">
        <v>25</v>
      </c>
      <c r="C29" s="4">
        <v>2</v>
      </c>
      <c r="D29" s="4">
        <v>1</v>
      </c>
      <c r="E29" t="s">
        <v>1</v>
      </c>
    </row>
    <row r="30" spans="1:5">
      <c r="A30" t="str">
        <f t="shared" si="0"/>
        <v>뇌명22</v>
      </c>
      <c r="B30" t="s">
        <v>25</v>
      </c>
      <c r="C30" s="4">
        <v>2</v>
      </c>
      <c r="D30" s="4">
        <v>2</v>
      </c>
      <c r="E30" t="s">
        <v>1</v>
      </c>
    </row>
    <row r="31" spans="1:5">
      <c r="A31" t="str">
        <f t="shared" si="0"/>
        <v>뇌명23</v>
      </c>
      <c r="B31" t="s">
        <v>25</v>
      </c>
      <c r="C31" s="4">
        <v>2</v>
      </c>
      <c r="D31" s="4">
        <v>3</v>
      </c>
      <c r="E31" t="s">
        <v>261</v>
      </c>
    </row>
    <row r="32" spans="1:5">
      <c r="A32" t="str">
        <f t="shared" si="0"/>
        <v>뇌명31</v>
      </c>
      <c r="B32" t="s">
        <v>25</v>
      </c>
      <c r="C32" s="4">
        <v>3</v>
      </c>
      <c r="D32" s="4">
        <v>1</v>
      </c>
      <c r="E32" t="s">
        <v>88</v>
      </c>
    </row>
    <row r="33" spans="1:12">
      <c r="A33" t="str">
        <f t="shared" si="0"/>
        <v>뇌명32</v>
      </c>
      <c r="B33" t="s">
        <v>25</v>
      </c>
      <c r="C33" s="4">
        <v>3</v>
      </c>
      <c r="D33" s="4">
        <v>2</v>
      </c>
      <c r="E33" t="s">
        <v>87</v>
      </c>
    </row>
    <row r="34" spans="1:12">
      <c r="A34" t="str">
        <f t="shared" si="0"/>
        <v>섬열11</v>
      </c>
      <c r="B34" t="s">
        <v>3</v>
      </c>
      <c r="C34" s="4">
        <v>1</v>
      </c>
      <c r="D34" s="4">
        <v>1</v>
      </c>
      <c r="E34" t="s">
        <v>65</v>
      </c>
    </row>
    <row r="35" spans="1:12">
      <c r="A35" t="str">
        <f t="shared" si="0"/>
        <v>섬열12</v>
      </c>
      <c r="B35" t="s">
        <v>3</v>
      </c>
      <c r="C35" s="4">
        <v>1</v>
      </c>
      <c r="D35" s="4">
        <v>2</v>
      </c>
      <c r="E35" t="s">
        <v>66</v>
      </c>
    </row>
    <row r="36" spans="1:12">
      <c r="A36" t="str">
        <f t="shared" si="0"/>
        <v>섬열13</v>
      </c>
      <c r="B36" t="s">
        <v>3</v>
      </c>
      <c r="C36" s="4">
        <v>1</v>
      </c>
      <c r="D36" s="4">
        <v>3</v>
      </c>
      <c r="E36" t="s">
        <v>46</v>
      </c>
    </row>
    <row r="37" spans="1:12">
      <c r="A37" t="str">
        <f t="shared" si="0"/>
        <v>섬열21</v>
      </c>
      <c r="B37" s="9" t="s">
        <v>3</v>
      </c>
      <c r="C37" s="8">
        <v>2</v>
      </c>
      <c r="D37" s="8">
        <v>1</v>
      </c>
      <c r="E37" s="9" t="s">
        <v>213</v>
      </c>
    </row>
    <row r="38" spans="1:12">
      <c r="A38" t="str">
        <f t="shared" si="0"/>
        <v>섬열22</v>
      </c>
      <c r="B38" s="9" t="s">
        <v>3</v>
      </c>
      <c r="C38" s="8">
        <v>2</v>
      </c>
      <c r="D38" s="8">
        <v>2</v>
      </c>
      <c r="E38" s="9" t="s">
        <v>214</v>
      </c>
    </row>
    <row r="39" spans="1:12">
      <c r="A39" t="str">
        <f t="shared" si="0"/>
        <v>섬열23</v>
      </c>
      <c r="B39" t="s">
        <v>3</v>
      </c>
      <c r="C39" s="4">
        <v>2</v>
      </c>
      <c r="D39" s="4">
        <v>3</v>
      </c>
      <c r="E39" t="s">
        <v>47</v>
      </c>
    </row>
    <row r="40" spans="1:12">
      <c r="A40" t="str">
        <f t="shared" si="0"/>
        <v>섬열31</v>
      </c>
      <c r="B40" s="9" t="s">
        <v>3</v>
      </c>
      <c r="C40" s="8">
        <v>3</v>
      </c>
      <c r="D40" s="8">
        <v>1</v>
      </c>
      <c r="E40" s="9" t="s">
        <v>187</v>
      </c>
    </row>
    <row r="41" spans="1:12">
      <c r="A41" t="str">
        <f t="shared" si="0"/>
        <v>섬열32</v>
      </c>
      <c r="B41" t="s">
        <v>3</v>
      </c>
      <c r="C41" s="4">
        <v>3</v>
      </c>
      <c r="D41" s="4">
        <v>2</v>
      </c>
      <c r="E41" t="s">
        <v>268</v>
      </c>
    </row>
    <row r="42" spans="1:12">
      <c r="A42" t="str">
        <f t="shared" si="0"/>
        <v>월섬11</v>
      </c>
      <c r="B42" t="s">
        <v>4</v>
      </c>
      <c r="C42" s="4">
        <v>1</v>
      </c>
      <c r="D42" s="4">
        <v>1</v>
      </c>
      <c r="E42" t="s">
        <v>234</v>
      </c>
    </row>
    <row r="43" spans="1:12">
      <c r="A43" t="str">
        <f t="shared" si="0"/>
        <v>월섬12</v>
      </c>
      <c r="B43" t="s">
        <v>4</v>
      </c>
      <c r="C43" s="4">
        <v>1</v>
      </c>
      <c r="D43" s="4">
        <v>2</v>
      </c>
      <c r="E43" t="s">
        <v>233</v>
      </c>
    </row>
    <row r="44" spans="1:12">
      <c r="A44" t="str">
        <f t="shared" si="0"/>
        <v>월섬13</v>
      </c>
      <c r="B44" t="s">
        <v>4</v>
      </c>
      <c r="C44" s="4">
        <v>1</v>
      </c>
      <c r="D44" s="4">
        <v>3</v>
      </c>
      <c r="E44" t="s">
        <v>48</v>
      </c>
    </row>
    <row r="45" spans="1:12">
      <c r="A45" t="str">
        <f t="shared" si="0"/>
        <v>월섬21</v>
      </c>
      <c r="B45" t="s">
        <v>4</v>
      </c>
      <c r="C45" s="4">
        <v>2</v>
      </c>
      <c r="D45" s="4">
        <v>1</v>
      </c>
      <c r="E45" t="s">
        <v>49</v>
      </c>
    </row>
    <row r="46" spans="1:12">
      <c r="A46" t="str">
        <f t="shared" si="0"/>
        <v>월섬22</v>
      </c>
      <c r="B46" s="9" t="s">
        <v>4</v>
      </c>
      <c r="C46" s="8">
        <v>2</v>
      </c>
      <c r="D46" s="8">
        <v>2</v>
      </c>
      <c r="E46" s="9" t="s">
        <v>50</v>
      </c>
      <c r="L46" s="1"/>
    </row>
    <row r="47" spans="1:12">
      <c r="A47" t="str">
        <f t="shared" si="0"/>
        <v>월섬23</v>
      </c>
      <c r="B47" t="s">
        <v>4</v>
      </c>
      <c r="C47" s="4">
        <v>2</v>
      </c>
      <c r="D47" s="4">
        <v>3</v>
      </c>
      <c r="E47" t="s">
        <v>1</v>
      </c>
    </row>
    <row r="48" spans="1:12">
      <c r="A48" t="str">
        <f t="shared" si="0"/>
        <v>월섬31</v>
      </c>
      <c r="B48" s="9" t="s">
        <v>4</v>
      </c>
      <c r="C48" s="8">
        <v>3</v>
      </c>
      <c r="D48" s="8">
        <v>1</v>
      </c>
      <c r="E48" s="9" t="s">
        <v>186</v>
      </c>
    </row>
    <row r="49" spans="1:12">
      <c r="A49" t="str">
        <f t="shared" si="0"/>
        <v>월섬32</v>
      </c>
      <c r="B49" s="9" t="s">
        <v>4</v>
      </c>
      <c r="C49" s="8">
        <v>3</v>
      </c>
      <c r="D49" s="8">
        <v>2</v>
      </c>
      <c r="E49" s="9" t="s">
        <v>51</v>
      </c>
      <c r="L49" s="1"/>
    </row>
    <row r="50" spans="1:12">
      <c r="A50" t="str">
        <f t="shared" si="0"/>
        <v>지뢰11</v>
      </c>
      <c r="B50" t="s">
        <v>26</v>
      </c>
      <c r="C50" s="4">
        <v>1</v>
      </c>
      <c r="D50" s="4">
        <v>1</v>
      </c>
      <c r="E50" t="s">
        <v>52</v>
      </c>
    </row>
    <row r="51" spans="1:12">
      <c r="A51" t="str">
        <f t="shared" si="0"/>
        <v>지뢰12</v>
      </c>
      <c r="B51" t="s">
        <v>26</v>
      </c>
      <c r="C51" s="4">
        <v>1</v>
      </c>
      <c r="D51" s="4">
        <v>2</v>
      </c>
      <c r="E51" t="s">
        <v>1</v>
      </c>
    </row>
    <row r="52" spans="1:12">
      <c r="A52" t="str">
        <f t="shared" si="0"/>
        <v>지뢰13</v>
      </c>
      <c r="B52" t="s">
        <v>26</v>
      </c>
      <c r="C52" s="4">
        <v>1</v>
      </c>
      <c r="D52" s="4">
        <v>3</v>
      </c>
      <c r="E52" t="s">
        <v>55</v>
      </c>
    </row>
    <row r="53" spans="1:12">
      <c r="A53" t="str">
        <f t="shared" si="0"/>
        <v>지뢰21</v>
      </c>
      <c r="B53" t="s">
        <v>26</v>
      </c>
      <c r="C53" s="4">
        <v>2</v>
      </c>
      <c r="D53" s="4">
        <v>1</v>
      </c>
      <c r="E53" t="s">
        <v>1</v>
      </c>
    </row>
    <row r="54" spans="1:12">
      <c r="A54" t="str">
        <f t="shared" si="0"/>
        <v>지뢰22</v>
      </c>
      <c r="B54" t="s">
        <v>26</v>
      </c>
      <c r="C54" s="4">
        <v>2</v>
      </c>
      <c r="D54" s="4">
        <v>2</v>
      </c>
      <c r="E54" t="s">
        <v>1</v>
      </c>
    </row>
    <row r="55" spans="1:12">
      <c r="A55" t="str">
        <f t="shared" si="0"/>
        <v>지뢰23</v>
      </c>
      <c r="B55" t="s">
        <v>26</v>
      </c>
      <c r="C55" s="4">
        <v>2</v>
      </c>
      <c r="D55" s="4">
        <v>3</v>
      </c>
      <c r="E55" t="s">
        <v>274</v>
      </c>
    </row>
    <row r="56" spans="1:12">
      <c r="A56" t="str">
        <f t="shared" si="0"/>
        <v>지뢰31</v>
      </c>
      <c r="B56" t="s">
        <v>26</v>
      </c>
      <c r="C56" s="4">
        <v>3</v>
      </c>
      <c r="D56" s="4">
        <v>1</v>
      </c>
      <c r="E56" t="s">
        <v>53</v>
      </c>
    </row>
    <row r="57" spans="1:12">
      <c r="A57" t="str">
        <f t="shared" si="0"/>
        <v>지뢰32</v>
      </c>
      <c r="B57" t="s">
        <v>26</v>
      </c>
      <c r="C57" s="4">
        <v>3</v>
      </c>
      <c r="D57" s="4">
        <v>2</v>
      </c>
      <c r="E57" t="s">
        <v>54</v>
      </c>
    </row>
    <row r="58" spans="1:12">
      <c r="A58" t="str">
        <f t="shared" si="0"/>
        <v>바속32</v>
      </c>
      <c r="B58" t="s">
        <v>5</v>
      </c>
      <c r="C58" s="4">
        <v>3</v>
      </c>
      <c r="D58" s="4">
        <v>2</v>
      </c>
      <c r="E58" t="s">
        <v>1</v>
      </c>
    </row>
    <row r="59" spans="1:12">
      <c r="A59" t="str">
        <f t="shared" si="0"/>
        <v>잠룡11</v>
      </c>
      <c r="B59" t="s">
        <v>31</v>
      </c>
      <c r="C59" s="4">
        <v>1</v>
      </c>
      <c r="D59" s="4">
        <v>1</v>
      </c>
      <c r="E59" t="s">
        <v>56</v>
      </c>
    </row>
    <row r="60" spans="1:12">
      <c r="A60" t="str">
        <f t="shared" si="0"/>
        <v>잠룡12</v>
      </c>
      <c r="B60" t="s">
        <v>31</v>
      </c>
      <c r="C60" s="4">
        <v>1</v>
      </c>
      <c r="D60" s="4">
        <v>2</v>
      </c>
      <c r="E60" t="s">
        <v>57</v>
      </c>
    </row>
    <row r="61" spans="1:12">
      <c r="A61" t="str">
        <f t="shared" si="0"/>
        <v>잠룡13</v>
      </c>
      <c r="B61" t="s">
        <v>31</v>
      </c>
      <c r="C61" s="4">
        <v>1</v>
      </c>
      <c r="D61" s="4">
        <v>3</v>
      </c>
      <c r="E61" t="s">
        <v>58</v>
      </c>
    </row>
    <row r="62" spans="1:12">
      <c r="A62" t="str">
        <f t="shared" si="0"/>
        <v>잠룡21</v>
      </c>
      <c r="B62" t="s">
        <v>31</v>
      </c>
      <c r="C62" s="4">
        <v>2</v>
      </c>
      <c r="D62" s="4">
        <v>1</v>
      </c>
      <c r="E62" t="s">
        <v>59</v>
      </c>
    </row>
    <row r="63" spans="1:12">
      <c r="A63" t="str">
        <f t="shared" si="0"/>
        <v>잠룡22</v>
      </c>
      <c r="B63" t="s">
        <v>31</v>
      </c>
      <c r="C63" s="4">
        <v>2</v>
      </c>
      <c r="D63" s="4">
        <v>2</v>
      </c>
      <c r="E63" t="s">
        <v>60</v>
      </c>
    </row>
    <row r="64" spans="1:12">
      <c r="A64" t="str">
        <f t="shared" si="0"/>
        <v>잠룡23</v>
      </c>
      <c r="B64" t="s">
        <v>31</v>
      </c>
      <c r="C64" s="4">
        <v>2</v>
      </c>
      <c r="D64" s="4">
        <v>3</v>
      </c>
      <c r="E64" t="s">
        <v>61</v>
      </c>
    </row>
    <row r="65" spans="1:5">
      <c r="A65" t="str">
        <f t="shared" si="0"/>
        <v>잠룡31</v>
      </c>
      <c r="B65" t="s">
        <v>31</v>
      </c>
      <c r="C65" s="4">
        <v>3</v>
      </c>
      <c r="D65" s="4">
        <v>1</v>
      </c>
      <c r="E65" t="s">
        <v>272</v>
      </c>
    </row>
    <row r="66" spans="1:5">
      <c r="A66" t="str">
        <f t="shared" si="0"/>
        <v>잠룡32</v>
      </c>
      <c r="B66" t="s">
        <v>31</v>
      </c>
      <c r="C66" s="4">
        <v>3</v>
      </c>
      <c r="D66" s="4">
        <v>2</v>
      </c>
      <c r="E66" t="s">
        <v>62</v>
      </c>
    </row>
    <row r="67" spans="1:5">
      <c r="A67" t="str">
        <f t="shared" ref="A67:A137" si="1">B67&amp;C67&amp;D67</f>
        <v>초풍11</v>
      </c>
      <c r="B67" t="s">
        <v>27</v>
      </c>
      <c r="C67" s="4">
        <v>1</v>
      </c>
      <c r="D67" s="4">
        <v>1</v>
      </c>
      <c r="E67" t="s">
        <v>67</v>
      </c>
    </row>
    <row r="68" spans="1:5">
      <c r="A68" t="str">
        <f t="shared" si="1"/>
        <v>초풍12</v>
      </c>
      <c r="B68" t="s">
        <v>27</v>
      </c>
      <c r="C68" s="4">
        <v>1</v>
      </c>
      <c r="D68" s="4">
        <v>2</v>
      </c>
      <c r="E68" t="s">
        <v>68</v>
      </c>
    </row>
    <row r="69" spans="1:5">
      <c r="A69" t="str">
        <f t="shared" si="1"/>
        <v>초풍13</v>
      </c>
      <c r="B69" t="s">
        <v>27</v>
      </c>
      <c r="C69" s="4">
        <v>1</v>
      </c>
      <c r="D69" s="4">
        <v>3</v>
      </c>
      <c r="E69" t="s">
        <v>257</v>
      </c>
    </row>
    <row r="70" spans="1:5">
      <c r="A70" t="str">
        <f t="shared" si="1"/>
        <v>초풍21</v>
      </c>
      <c r="B70" t="s">
        <v>27</v>
      </c>
      <c r="C70" s="4">
        <v>2</v>
      </c>
      <c r="D70" s="4">
        <v>1</v>
      </c>
      <c r="E70" t="s">
        <v>41</v>
      </c>
    </row>
    <row r="71" spans="1:5">
      <c r="A71" t="str">
        <f t="shared" si="1"/>
        <v>초풍22</v>
      </c>
      <c r="B71" t="s">
        <v>27</v>
      </c>
      <c r="C71" s="4">
        <v>2</v>
      </c>
      <c r="D71" s="4">
        <v>2</v>
      </c>
      <c r="E71" t="s">
        <v>69</v>
      </c>
    </row>
    <row r="72" spans="1:5">
      <c r="A72" t="str">
        <f t="shared" si="1"/>
        <v>초풍23</v>
      </c>
      <c r="B72" t="s">
        <v>27</v>
      </c>
      <c r="C72" s="4">
        <v>2</v>
      </c>
      <c r="D72" s="4">
        <v>3</v>
      </c>
      <c r="E72" t="s">
        <v>70</v>
      </c>
    </row>
    <row r="73" spans="1:5">
      <c r="A73" t="str">
        <f t="shared" si="1"/>
        <v>초풍31</v>
      </c>
      <c r="B73" s="10" t="s">
        <v>27</v>
      </c>
      <c r="C73" s="11">
        <v>3</v>
      </c>
      <c r="D73" s="11">
        <v>1</v>
      </c>
      <c r="E73" s="10" t="s">
        <v>71</v>
      </c>
    </row>
    <row r="74" spans="1:5">
      <c r="A74" t="str">
        <f t="shared" si="1"/>
        <v>초풍32</v>
      </c>
      <c r="B74" t="s">
        <v>27</v>
      </c>
      <c r="C74" s="4">
        <v>3</v>
      </c>
      <c r="D74" s="4">
        <v>2</v>
      </c>
      <c r="E74" s="10" t="s">
        <v>151</v>
      </c>
    </row>
    <row r="75" spans="1:5">
      <c r="A75" t="str">
        <f t="shared" si="1"/>
        <v>화조11</v>
      </c>
      <c r="B75" t="s">
        <v>6</v>
      </c>
      <c r="C75" s="4">
        <v>1</v>
      </c>
      <c r="D75" s="4">
        <v>1</v>
      </c>
      <c r="E75" s="10" t="s">
        <v>72</v>
      </c>
    </row>
    <row r="76" spans="1:5">
      <c r="A76" t="str">
        <f t="shared" si="1"/>
        <v>화조12</v>
      </c>
      <c r="B76" t="s">
        <v>6</v>
      </c>
      <c r="C76" s="4">
        <v>1</v>
      </c>
      <c r="D76" s="4">
        <v>2</v>
      </c>
      <c r="E76" s="10" t="s">
        <v>1</v>
      </c>
    </row>
    <row r="77" spans="1:5">
      <c r="A77" t="str">
        <f t="shared" si="1"/>
        <v>화조13</v>
      </c>
      <c r="B77" t="s">
        <v>6</v>
      </c>
      <c r="C77" s="4">
        <v>1</v>
      </c>
      <c r="D77" s="4">
        <v>3</v>
      </c>
      <c r="E77" s="10" t="s">
        <v>260</v>
      </c>
    </row>
    <row r="78" spans="1:5">
      <c r="A78" t="str">
        <f t="shared" si="1"/>
        <v>화조21</v>
      </c>
      <c r="B78" t="s">
        <v>6</v>
      </c>
      <c r="C78" s="4">
        <v>2</v>
      </c>
      <c r="D78" s="4">
        <v>1</v>
      </c>
      <c r="E78" s="10" t="s">
        <v>73</v>
      </c>
    </row>
    <row r="79" spans="1:5">
      <c r="A79" t="str">
        <f t="shared" si="1"/>
        <v>화조22</v>
      </c>
      <c r="B79" t="s">
        <v>6</v>
      </c>
      <c r="C79" s="4">
        <v>2</v>
      </c>
      <c r="D79" s="4">
        <v>2</v>
      </c>
      <c r="E79" s="10" t="s">
        <v>1</v>
      </c>
    </row>
    <row r="80" spans="1:5">
      <c r="A80" t="str">
        <f t="shared" si="1"/>
        <v>화조23</v>
      </c>
      <c r="B80" t="s">
        <v>6</v>
      </c>
      <c r="C80" s="4">
        <v>2</v>
      </c>
      <c r="D80" s="4">
        <v>3</v>
      </c>
      <c r="E80" t="s">
        <v>74</v>
      </c>
    </row>
    <row r="81" spans="1:5">
      <c r="A81" t="str">
        <f t="shared" si="1"/>
        <v>화조31</v>
      </c>
      <c r="B81" t="s">
        <v>6</v>
      </c>
      <c r="C81" s="4">
        <v>3</v>
      </c>
      <c r="D81" s="4">
        <v>1</v>
      </c>
      <c r="E81" t="s">
        <v>89</v>
      </c>
    </row>
    <row r="82" spans="1:5">
      <c r="A82" t="str">
        <f t="shared" si="1"/>
        <v>화조32</v>
      </c>
      <c r="B82" t="s">
        <v>6</v>
      </c>
      <c r="C82" s="4">
        <v>3</v>
      </c>
      <c r="D82" s="4">
        <v>2</v>
      </c>
      <c r="E82" t="s">
        <v>75</v>
      </c>
    </row>
    <row r="83" spans="1:5">
      <c r="A83" t="str">
        <f t="shared" si="1"/>
        <v>용포11</v>
      </c>
      <c r="B83" t="s">
        <v>7</v>
      </c>
      <c r="C83" s="4">
        <v>1</v>
      </c>
      <c r="D83" s="4">
        <v>1</v>
      </c>
      <c r="E83" t="s">
        <v>76</v>
      </c>
    </row>
    <row r="84" spans="1:5">
      <c r="A84" t="str">
        <f t="shared" si="1"/>
        <v>용포12</v>
      </c>
      <c r="B84" t="s">
        <v>7</v>
      </c>
      <c r="C84" s="4">
        <v>1</v>
      </c>
      <c r="D84" s="4">
        <v>2</v>
      </c>
      <c r="E84" t="s">
        <v>72</v>
      </c>
    </row>
    <row r="85" spans="1:5">
      <c r="A85" t="str">
        <f t="shared" si="1"/>
        <v>용포13</v>
      </c>
      <c r="B85" t="s">
        <v>7</v>
      </c>
      <c r="C85" s="4">
        <v>1</v>
      </c>
      <c r="D85" s="4">
        <v>3</v>
      </c>
      <c r="E85" t="s">
        <v>77</v>
      </c>
    </row>
    <row r="86" spans="1:5">
      <c r="A86" t="str">
        <f t="shared" si="1"/>
        <v>용포21</v>
      </c>
      <c r="B86" t="s">
        <v>7</v>
      </c>
      <c r="C86" s="4">
        <v>2</v>
      </c>
      <c r="D86" s="4">
        <v>1</v>
      </c>
      <c r="E86" t="s">
        <v>78</v>
      </c>
    </row>
    <row r="87" spans="1:5">
      <c r="A87" t="str">
        <f t="shared" si="1"/>
        <v>용포22</v>
      </c>
      <c r="B87" t="s">
        <v>7</v>
      </c>
      <c r="C87" s="4">
        <v>2</v>
      </c>
      <c r="D87" s="4">
        <v>2</v>
      </c>
      <c r="E87" t="s">
        <v>79</v>
      </c>
    </row>
    <row r="88" spans="1:5">
      <c r="A88" t="str">
        <f t="shared" si="1"/>
        <v>용포23</v>
      </c>
      <c r="B88" t="s">
        <v>7</v>
      </c>
      <c r="C88" s="4">
        <v>2</v>
      </c>
      <c r="D88" s="4">
        <v>3</v>
      </c>
      <c r="E88" t="s">
        <v>80</v>
      </c>
    </row>
    <row r="89" spans="1:5">
      <c r="A89" t="str">
        <f t="shared" si="1"/>
        <v>용포31</v>
      </c>
      <c r="B89" t="s">
        <v>7</v>
      </c>
      <c r="C89" s="4">
        <v>3</v>
      </c>
      <c r="D89" s="4">
        <v>1</v>
      </c>
      <c r="E89" t="s">
        <v>81</v>
      </c>
    </row>
    <row r="90" spans="1:5">
      <c r="A90" t="str">
        <f t="shared" si="1"/>
        <v>용포32</v>
      </c>
      <c r="B90" t="s">
        <v>7</v>
      </c>
      <c r="C90" s="4">
        <v>3</v>
      </c>
      <c r="D90" s="4">
        <v>2</v>
      </c>
      <c r="E90" t="s">
        <v>82</v>
      </c>
    </row>
    <row r="91" spans="1:5">
      <c r="A91" t="str">
        <f t="shared" si="1"/>
        <v>방천11</v>
      </c>
      <c r="B91" t="s">
        <v>8</v>
      </c>
      <c r="C91" s="4">
        <v>1</v>
      </c>
      <c r="D91" s="4">
        <v>1</v>
      </c>
      <c r="E91" t="s">
        <v>77</v>
      </c>
    </row>
    <row r="92" spans="1:5">
      <c r="A92" t="str">
        <f t="shared" si="1"/>
        <v>방천12</v>
      </c>
      <c r="B92" t="s">
        <v>8</v>
      </c>
      <c r="C92" s="4">
        <v>1</v>
      </c>
      <c r="D92" s="4">
        <v>2</v>
      </c>
      <c r="E92" t="s">
        <v>1</v>
      </c>
    </row>
    <row r="93" spans="1:5">
      <c r="A93" t="str">
        <f t="shared" si="1"/>
        <v>방천13</v>
      </c>
      <c r="B93" t="s">
        <v>8</v>
      </c>
      <c r="C93" s="4">
        <v>1</v>
      </c>
      <c r="D93" s="4">
        <v>3</v>
      </c>
      <c r="E93" t="s">
        <v>83</v>
      </c>
    </row>
    <row r="94" spans="1:5">
      <c r="A94" t="str">
        <f t="shared" si="1"/>
        <v>방천21</v>
      </c>
      <c r="B94" t="s">
        <v>8</v>
      </c>
      <c r="C94" s="4">
        <v>2</v>
      </c>
      <c r="D94" s="4">
        <v>1</v>
      </c>
      <c r="E94" t="s">
        <v>84</v>
      </c>
    </row>
    <row r="95" spans="1:5">
      <c r="A95" t="str">
        <f t="shared" si="1"/>
        <v>방천22</v>
      </c>
      <c r="B95" t="s">
        <v>8</v>
      </c>
      <c r="C95" s="4">
        <v>2</v>
      </c>
      <c r="D95" s="4">
        <v>2</v>
      </c>
      <c r="E95" t="s">
        <v>85</v>
      </c>
    </row>
    <row r="96" spans="1:5">
      <c r="A96" t="str">
        <f t="shared" si="1"/>
        <v>방천23</v>
      </c>
      <c r="B96" t="s">
        <v>8</v>
      </c>
      <c r="C96" s="4">
        <v>2</v>
      </c>
      <c r="D96" s="4">
        <v>3</v>
      </c>
      <c r="E96" t="s">
        <v>262</v>
      </c>
    </row>
    <row r="97" spans="1:5">
      <c r="A97" t="str">
        <f t="shared" si="1"/>
        <v>방천31</v>
      </c>
      <c r="B97" t="s">
        <v>8</v>
      </c>
      <c r="C97" s="4">
        <v>3</v>
      </c>
      <c r="D97" s="4">
        <v>1</v>
      </c>
      <c r="E97" t="s">
        <v>86</v>
      </c>
    </row>
    <row r="98" spans="1:5">
      <c r="A98" t="str">
        <f t="shared" si="1"/>
        <v>방천32</v>
      </c>
      <c r="B98" s="9" t="s">
        <v>8</v>
      </c>
      <c r="C98" s="8">
        <v>3</v>
      </c>
      <c r="D98" s="8">
        <v>2</v>
      </c>
      <c r="E98" s="9" t="s">
        <v>90</v>
      </c>
    </row>
    <row r="99" spans="1:5">
      <c r="A99" t="str">
        <f t="shared" si="1"/>
        <v>내연11</v>
      </c>
      <c r="B99" t="s">
        <v>28</v>
      </c>
      <c r="C99" s="4">
        <v>1</v>
      </c>
      <c r="D99" s="4">
        <v>1</v>
      </c>
      <c r="E99" t="s">
        <v>91</v>
      </c>
    </row>
    <row r="100" spans="1:5">
      <c r="A100" t="str">
        <f t="shared" si="1"/>
        <v>내연12</v>
      </c>
      <c r="B100" t="s">
        <v>28</v>
      </c>
      <c r="C100" s="4">
        <v>1</v>
      </c>
      <c r="D100" s="4">
        <v>2</v>
      </c>
      <c r="E100" t="s">
        <v>92</v>
      </c>
    </row>
    <row r="101" spans="1:5">
      <c r="A101" t="str">
        <f t="shared" si="1"/>
        <v>내연13</v>
      </c>
      <c r="B101" t="s">
        <v>28</v>
      </c>
      <c r="C101" s="4">
        <v>1</v>
      </c>
      <c r="D101" s="4">
        <v>3</v>
      </c>
      <c r="E101" t="s">
        <v>253</v>
      </c>
    </row>
    <row r="102" spans="1:5">
      <c r="A102" t="str">
        <f t="shared" si="1"/>
        <v>내연21</v>
      </c>
      <c r="B102" t="s">
        <v>28</v>
      </c>
      <c r="C102" s="4">
        <v>2</v>
      </c>
      <c r="D102" s="4">
        <v>1</v>
      </c>
      <c r="E102" t="s">
        <v>93</v>
      </c>
    </row>
    <row r="103" spans="1:5">
      <c r="A103" t="str">
        <f t="shared" si="1"/>
        <v>내연22</v>
      </c>
      <c r="B103" t="s">
        <v>28</v>
      </c>
      <c r="C103" s="4">
        <v>2</v>
      </c>
      <c r="D103" s="4">
        <v>2</v>
      </c>
      <c r="E103" t="s">
        <v>94</v>
      </c>
    </row>
    <row r="104" spans="1:5">
      <c r="A104" t="str">
        <f t="shared" si="1"/>
        <v>내연23</v>
      </c>
      <c r="B104" t="s">
        <v>28</v>
      </c>
      <c r="C104" s="4">
        <v>2</v>
      </c>
      <c r="D104" s="4">
        <v>3</v>
      </c>
      <c r="E104" t="s">
        <v>185</v>
      </c>
    </row>
    <row r="105" spans="1:5">
      <c r="A105" t="str">
        <f t="shared" si="1"/>
        <v>내연31</v>
      </c>
      <c r="B105" t="s">
        <v>28</v>
      </c>
      <c r="C105" s="4">
        <v>3</v>
      </c>
      <c r="D105" s="4">
        <v>1</v>
      </c>
      <c r="E105" t="s">
        <v>254</v>
      </c>
    </row>
    <row r="106" spans="1:5">
      <c r="A106" t="str">
        <f t="shared" si="1"/>
        <v>내연32</v>
      </c>
      <c r="B106" t="s">
        <v>28</v>
      </c>
      <c r="C106" s="4">
        <v>3</v>
      </c>
      <c r="D106" s="4">
        <v>2</v>
      </c>
      <c r="E106" t="s">
        <v>95</v>
      </c>
    </row>
    <row r="107" spans="1:5">
      <c r="A107" t="str">
        <f t="shared" si="1"/>
        <v>나선11</v>
      </c>
      <c r="B107" t="s">
        <v>9</v>
      </c>
      <c r="C107" s="4">
        <v>1</v>
      </c>
      <c r="D107" s="4">
        <v>1</v>
      </c>
      <c r="E107" t="s">
        <v>1</v>
      </c>
    </row>
    <row r="108" spans="1:5">
      <c r="A108" t="str">
        <f t="shared" si="1"/>
        <v>나선12</v>
      </c>
      <c r="B108" t="s">
        <v>9</v>
      </c>
      <c r="C108" s="4">
        <v>1</v>
      </c>
      <c r="D108" s="4">
        <v>2</v>
      </c>
      <c r="E108" t="s">
        <v>72</v>
      </c>
    </row>
    <row r="109" spans="1:5">
      <c r="A109" t="str">
        <f t="shared" si="1"/>
        <v>나선13</v>
      </c>
      <c r="B109" t="s">
        <v>9</v>
      </c>
      <c r="C109" s="4">
        <v>1</v>
      </c>
      <c r="D109" s="4">
        <v>3</v>
      </c>
      <c r="E109" t="s">
        <v>96</v>
      </c>
    </row>
    <row r="110" spans="1:5">
      <c r="A110" t="str">
        <f t="shared" si="1"/>
        <v>나선21</v>
      </c>
      <c r="B110" t="s">
        <v>9</v>
      </c>
      <c r="C110" s="4">
        <v>2</v>
      </c>
      <c r="D110" s="4">
        <v>1</v>
      </c>
      <c r="E110" t="s">
        <v>70</v>
      </c>
    </row>
    <row r="111" spans="1:5">
      <c r="A111" t="str">
        <f t="shared" si="1"/>
        <v>나선22</v>
      </c>
      <c r="B111" t="s">
        <v>9</v>
      </c>
      <c r="C111" s="4">
        <v>2</v>
      </c>
      <c r="D111" s="4">
        <v>2</v>
      </c>
      <c r="E111" t="s">
        <v>97</v>
      </c>
    </row>
    <row r="112" spans="1:5">
      <c r="A112" t="str">
        <f t="shared" si="1"/>
        <v>나선23</v>
      </c>
      <c r="B112" t="s">
        <v>9</v>
      </c>
      <c r="C112" s="4">
        <v>2</v>
      </c>
      <c r="D112" s="4">
        <v>3</v>
      </c>
      <c r="E112" t="s">
        <v>98</v>
      </c>
    </row>
    <row r="113" spans="1:5">
      <c r="A113" t="str">
        <f t="shared" si="1"/>
        <v>나선31</v>
      </c>
      <c r="B113" t="s">
        <v>9</v>
      </c>
      <c r="C113" s="4">
        <v>3</v>
      </c>
      <c r="D113" s="4">
        <v>1</v>
      </c>
      <c r="E113" t="s">
        <v>1</v>
      </c>
    </row>
    <row r="114" spans="1:5">
      <c r="A114" t="str">
        <f t="shared" si="1"/>
        <v>나선32</v>
      </c>
      <c r="B114" t="s">
        <v>9</v>
      </c>
      <c r="C114" s="4">
        <v>3</v>
      </c>
      <c r="D114" s="4">
        <v>2</v>
      </c>
      <c r="E114" t="s">
        <v>102</v>
      </c>
    </row>
    <row r="115" spans="1:5">
      <c r="A115" t="str">
        <f t="shared" si="1"/>
        <v>화룡11</v>
      </c>
      <c r="B115" t="s">
        <v>10</v>
      </c>
      <c r="C115" s="4">
        <v>1</v>
      </c>
      <c r="D115" s="4">
        <v>1</v>
      </c>
      <c r="E115" t="s">
        <v>103</v>
      </c>
    </row>
    <row r="116" spans="1:5">
      <c r="A116" t="str">
        <f t="shared" si="1"/>
        <v>화룡12</v>
      </c>
      <c r="B116" t="s">
        <v>10</v>
      </c>
      <c r="C116" s="4">
        <v>1</v>
      </c>
      <c r="D116" s="4">
        <v>2</v>
      </c>
      <c r="E116" t="s">
        <v>104</v>
      </c>
    </row>
    <row r="117" spans="1:5">
      <c r="A117" t="str">
        <f t="shared" si="1"/>
        <v>화룡13</v>
      </c>
      <c r="B117" t="s">
        <v>10</v>
      </c>
      <c r="C117" s="4">
        <v>1</v>
      </c>
      <c r="D117" s="4">
        <v>3</v>
      </c>
      <c r="E117" t="s">
        <v>105</v>
      </c>
    </row>
    <row r="118" spans="1:5">
      <c r="A118" t="str">
        <f t="shared" si="1"/>
        <v>화룡21</v>
      </c>
      <c r="B118" t="s">
        <v>10</v>
      </c>
      <c r="C118" s="4">
        <v>2</v>
      </c>
      <c r="D118" s="4">
        <v>1</v>
      </c>
      <c r="E118" t="s">
        <v>1</v>
      </c>
    </row>
    <row r="119" spans="1:5">
      <c r="A119" t="str">
        <f t="shared" si="1"/>
        <v>화룡22</v>
      </c>
      <c r="B119" t="s">
        <v>10</v>
      </c>
      <c r="C119" s="4">
        <v>2</v>
      </c>
      <c r="D119" s="4">
        <v>2</v>
      </c>
      <c r="E119" t="s">
        <v>106</v>
      </c>
    </row>
    <row r="120" spans="1:5">
      <c r="A120" t="str">
        <f t="shared" si="1"/>
        <v>화룡23</v>
      </c>
      <c r="B120" t="s">
        <v>10</v>
      </c>
      <c r="C120" s="4">
        <v>2</v>
      </c>
      <c r="D120" s="4">
        <v>3</v>
      </c>
      <c r="E120" t="s">
        <v>190</v>
      </c>
    </row>
    <row r="121" spans="1:5">
      <c r="A121" t="str">
        <f>B121&amp;C121&amp;D121</f>
        <v>화룡31</v>
      </c>
      <c r="B121" t="s">
        <v>230</v>
      </c>
      <c r="C121" s="16">
        <v>3</v>
      </c>
      <c r="D121" s="16">
        <v>1</v>
      </c>
      <c r="E121" t="str">
        <f>"기모으기 하는동안 화염뎀 최대 9틱("&amp;INT((Master!G38+공격력)*Master!H38*9)&amp;"뎀)"</f>
        <v>기모으기 하는동안 화염뎀 최대 9틱(3402뎀)</v>
      </c>
    </row>
    <row r="122" spans="1:5">
      <c r="A122" t="str">
        <f t="shared" si="1"/>
        <v>화룡32</v>
      </c>
      <c r="B122" t="s">
        <v>10</v>
      </c>
      <c r="C122" s="4">
        <v>3</v>
      </c>
      <c r="D122" s="4">
        <v>2</v>
      </c>
      <c r="E122" t="s">
        <v>107</v>
      </c>
    </row>
    <row r="123" spans="1:5">
      <c r="A123" t="str">
        <f t="shared" ref="A123:A129" si="2">B123&amp;C123&amp;D123</f>
        <v>화룡(H)11</v>
      </c>
      <c r="B123" t="s">
        <v>231</v>
      </c>
      <c r="C123" s="16">
        <v>1</v>
      </c>
      <c r="D123" s="16">
        <v>1</v>
      </c>
      <c r="E123" t="s">
        <v>103</v>
      </c>
    </row>
    <row r="124" spans="1:5">
      <c r="A124" t="str">
        <f t="shared" si="2"/>
        <v>화룡(H)12</v>
      </c>
      <c r="B124" t="s">
        <v>231</v>
      </c>
      <c r="C124" s="16">
        <v>1</v>
      </c>
      <c r="D124" s="16">
        <v>2</v>
      </c>
      <c r="E124" t="s">
        <v>104</v>
      </c>
    </row>
    <row r="125" spans="1:5">
      <c r="A125" t="str">
        <f t="shared" si="2"/>
        <v>화룡(H)13</v>
      </c>
      <c r="B125" t="s">
        <v>231</v>
      </c>
      <c r="C125" s="16">
        <v>1</v>
      </c>
      <c r="D125" s="16">
        <v>3</v>
      </c>
      <c r="E125" t="s">
        <v>105</v>
      </c>
    </row>
    <row r="126" spans="1:5">
      <c r="A126" t="str">
        <f t="shared" si="2"/>
        <v>화룡(H)21</v>
      </c>
      <c r="B126" t="s">
        <v>231</v>
      </c>
      <c r="C126" s="16">
        <v>2</v>
      </c>
      <c r="D126" s="16">
        <v>1</v>
      </c>
      <c r="E126" t="s">
        <v>1</v>
      </c>
    </row>
    <row r="127" spans="1:5">
      <c r="A127" t="str">
        <f t="shared" si="2"/>
        <v>화룡(H)22</v>
      </c>
      <c r="B127" t="s">
        <v>231</v>
      </c>
      <c r="C127" s="16">
        <v>2</v>
      </c>
      <c r="D127" s="16">
        <v>2</v>
      </c>
      <c r="E127" t="s">
        <v>106</v>
      </c>
    </row>
    <row r="128" spans="1:5">
      <c r="A128" t="str">
        <f t="shared" si="2"/>
        <v>화룡(H)23</v>
      </c>
      <c r="B128" t="s">
        <v>231</v>
      </c>
      <c r="C128" s="16">
        <v>2</v>
      </c>
      <c r="D128" s="16">
        <v>3</v>
      </c>
      <c r="E128" t="s">
        <v>190</v>
      </c>
    </row>
    <row r="129" spans="1:5">
      <c r="A129" t="str">
        <f t="shared" si="2"/>
        <v>화룡(H)31</v>
      </c>
      <c r="B129" t="s">
        <v>231</v>
      </c>
      <c r="C129" s="16">
        <v>3</v>
      </c>
      <c r="D129" s="16">
        <v>1</v>
      </c>
      <c r="E129" t="str">
        <f>"기모으기 하는동안 화염뎀 최대 9틱("&amp;INT((Master!G44+공격력)*Master!H44*9)&amp;"뎀)"</f>
        <v>기모으기 하는동안 화염뎀 최대 9틱(3402뎀)</v>
      </c>
    </row>
    <row r="130" spans="1:5">
      <c r="A130" t="str">
        <f t="shared" si="1"/>
        <v>뇌진11</v>
      </c>
      <c r="B130" t="s">
        <v>11</v>
      </c>
      <c r="C130" s="4">
        <v>1</v>
      </c>
      <c r="D130" s="4">
        <v>1</v>
      </c>
      <c r="E130" t="s">
        <v>109</v>
      </c>
    </row>
    <row r="131" spans="1:5">
      <c r="A131" t="str">
        <f t="shared" si="1"/>
        <v>뇌진12</v>
      </c>
      <c r="B131" t="s">
        <v>11</v>
      </c>
      <c r="C131" s="4">
        <v>1</v>
      </c>
      <c r="D131" s="4">
        <v>2</v>
      </c>
      <c r="E131" t="s">
        <v>235</v>
      </c>
    </row>
    <row r="132" spans="1:5">
      <c r="A132" t="str">
        <f t="shared" si="1"/>
        <v>뇌진13</v>
      </c>
      <c r="B132" t="s">
        <v>11</v>
      </c>
      <c r="C132" s="4">
        <v>1</v>
      </c>
      <c r="D132" s="4">
        <v>3</v>
      </c>
      <c r="E132" t="s">
        <v>110</v>
      </c>
    </row>
    <row r="133" spans="1:5">
      <c r="A133" t="str">
        <f t="shared" si="1"/>
        <v>뇌진21</v>
      </c>
      <c r="B133" t="s">
        <v>11</v>
      </c>
      <c r="C133" s="4">
        <v>2</v>
      </c>
      <c r="D133" s="4">
        <v>1</v>
      </c>
      <c r="E133" t="s">
        <v>111</v>
      </c>
    </row>
    <row r="134" spans="1:5">
      <c r="A134" t="str">
        <f t="shared" si="1"/>
        <v>뇌진22</v>
      </c>
      <c r="B134" t="s">
        <v>11</v>
      </c>
      <c r="C134" s="4">
        <v>2</v>
      </c>
      <c r="D134" s="4">
        <v>2</v>
      </c>
      <c r="E134" t="s">
        <v>112</v>
      </c>
    </row>
    <row r="135" spans="1:5">
      <c r="A135" t="str">
        <f t="shared" si="1"/>
        <v>뇌진23</v>
      </c>
      <c r="B135" t="s">
        <v>11</v>
      </c>
      <c r="C135" s="4">
        <v>2</v>
      </c>
      <c r="D135" s="4">
        <v>3</v>
      </c>
      <c r="E135" t="s">
        <v>113</v>
      </c>
    </row>
    <row r="136" spans="1:5">
      <c r="A136" t="str">
        <f t="shared" si="1"/>
        <v>뇌진31</v>
      </c>
      <c r="B136" t="s">
        <v>11</v>
      </c>
      <c r="C136" s="4">
        <v>3</v>
      </c>
      <c r="D136" s="4">
        <v>1</v>
      </c>
      <c r="E136" t="s">
        <v>232</v>
      </c>
    </row>
    <row r="137" spans="1:5">
      <c r="A137" t="str">
        <f t="shared" si="1"/>
        <v>뇌진32</v>
      </c>
      <c r="B137" t="s">
        <v>11</v>
      </c>
      <c r="C137" s="4">
        <v>3</v>
      </c>
      <c r="D137" s="4">
        <v>2</v>
      </c>
      <c r="E137" t="s">
        <v>114</v>
      </c>
    </row>
    <row r="138" spans="1:5">
      <c r="A138" t="str">
        <f t="shared" ref="A138:A145" si="3">B138&amp;C138&amp;D138</f>
        <v>바속11</v>
      </c>
      <c r="B138" t="s">
        <v>184</v>
      </c>
      <c r="C138" s="16">
        <v>1</v>
      </c>
      <c r="D138" s="16">
        <v>1</v>
      </c>
      <c r="E138" t="s">
        <v>191</v>
      </c>
    </row>
    <row r="139" spans="1:5">
      <c r="A139" t="str">
        <f t="shared" si="3"/>
        <v>바속12</v>
      </c>
      <c r="B139" t="s">
        <v>184</v>
      </c>
      <c r="C139" s="16">
        <v>1</v>
      </c>
      <c r="D139" s="16">
        <v>2</v>
      </c>
      <c r="E139" t="s">
        <v>192</v>
      </c>
    </row>
    <row r="140" spans="1:5">
      <c r="A140" t="str">
        <f t="shared" si="3"/>
        <v>바속13</v>
      </c>
      <c r="B140" t="s">
        <v>184</v>
      </c>
      <c r="C140" s="16">
        <v>1</v>
      </c>
      <c r="D140" s="16">
        <v>3</v>
      </c>
      <c r="E140" t="s">
        <v>194</v>
      </c>
    </row>
    <row r="141" spans="1:5">
      <c r="A141" t="str">
        <f t="shared" si="3"/>
        <v>바속21</v>
      </c>
      <c r="B141" t="s">
        <v>184</v>
      </c>
      <c r="C141" s="16">
        <v>2</v>
      </c>
      <c r="D141" s="16">
        <v>1</v>
      </c>
      <c r="E141" t="s">
        <v>193</v>
      </c>
    </row>
    <row r="142" spans="1:5">
      <c r="A142" t="str">
        <f t="shared" si="3"/>
        <v>바속22</v>
      </c>
      <c r="B142" t="s">
        <v>184</v>
      </c>
      <c r="C142" s="16">
        <v>2</v>
      </c>
      <c r="D142" s="16">
        <v>2</v>
      </c>
      <c r="E142" t="s">
        <v>195</v>
      </c>
    </row>
    <row r="143" spans="1:5">
      <c r="A143" t="str">
        <f t="shared" si="3"/>
        <v>바속23</v>
      </c>
      <c r="B143" t="s">
        <v>184</v>
      </c>
      <c r="C143" s="16">
        <v>2</v>
      </c>
      <c r="D143" s="16">
        <v>3</v>
      </c>
      <c r="E143" t="s">
        <v>196</v>
      </c>
    </row>
    <row r="144" spans="1:5">
      <c r="A144" t="str">
        <f t="shared" si="3"/>
        <v>바속31</v>
      </c>
      <c r="B144" t="s">
        <v>184</v>
      </c>
      <c r="C144" s="16">
        <v>3</v>
      </c>
      <c r="D144" s="16">
        <v>1</v>
      </c>
      <c r="E144" t="s">
        <v>197</v>
      </c>
    </row>
    <row r="145" spans="1:5">
      <c r="A145" t="str">
        <f t="shared" si="3"/>
        <v>바속32</v>
      </c>
      <c r="B145" t="s">
        <v>184</v>
      </c>
      <c r="C145" s="16">
        <v>3</v>
      </c>
      <c r="D145" s="16">
        <v>2</v>
      </c>
      <c r="E145" t="s">
        <v>198</v>
      </c>
    </row>
    <row r="146" spans="1:5">
      <c r="A146" t="str">
        <f t="shared" ref="A146:A160" si="4">B146&amp;C146&amp;D146</f>
        <v>풍신11</v>
      </c>
      <c r="B146" t="s">
        <v>12</v>
      </c>
      <c r="C146" s="4">
        <v>1</v>
      </c>
      <c r="D146" s="4">
        <v>1</v>
      </c>
      <c r="E146" t="s">
        <v>199</v>
      </c>
    </row>
    <row r="147" spans="1:5">
      <c r="A147" t="str">
        <f t="shared" si="4"/>
        <v>풍신12</v>
      </c>
      <c r="B147" t="s">
        <v>12</v>
      </c>
      <c r="C147" s="4">
        <v>1</v>
      </c>
      <c r="D147" s="4">
        <v>2</v>
      </c>
      <c r="E147" t="s">
        <v>200</v>
      </c>
    </row>
    <row r="148" spans="1:5">
      <c r="A148" t="str">
        <f t="shared" si="4"/>
        <v>풍신13</v>
      </c>
      <c r="B148" t="s">
        <v>12</v>
      </c>
      <c r="C148" s="4">
        <v>1</v>
      </c>
      <c r="D148" s="4">
        <v>3</v>
      </c>
      <c r="E148" t="s">
        <v>201</v>
      </c>
    </row>
    <row r="149" spans="1:5">
      <c r="A149" t="str">
        <f t="shared" si="4"/>
        <v>풍신21</v>
      </c>
      <c r="B149" t="s">
        <v>12</v>
      </c>
      <c r="C149" s="4">
        <v>2</v>
      </c>
      <c r="D149" s="4">
        <v>1</v>
      </c>
      <c r="E149" t="s">
        <v>202</v>
      </c>
    </row>
    <row r="150" spans="1:5">
      <c r="A150" t="str">
        <f t="shared" si="4"/>
        <v>풍신22</v>
      </c>
      <c r="B150" t="s">
        <v>12</v>
      </c>
      <c r="C150" s="4">
        <v>2</v>
      </c>
      <c r="D150" s="4">
        <v>2</v>
      </c>
      <c r="E150" t="s">
        <v>203</v>
      </c>
    </row>
    <row r="151" spans="1:5">
      <c r="A151" t="str">
        <f t="shared" si="4"/>
        <v>풍신23</v>
      </c>
      <c r="B151" t="s">
        <v>12</v>
      </c>
      <c r="C151" s="4">
        <v>2</v>
      </c>
      <c r="D151" s="4">
        <v>3</v>
      </c>
      <c r="E151" t="s">
        <v>224</v>
      </c>
    </row>
    <row r="152" spans="1:5">
      <c r="A152" t="str">
        <f t="shared" si="4"/>
        <v>풍신31</v>
      </c>
      <c r="B152" t="s">
        <v>12</v>
      </c>
      <c r="C152" s="4">
        <v>3</v>
      </c>
      <c r="D152" s="4">
        <v>1</v>
      </c>
      <c r="E152" t="s">
        <v>204</v>
      </c>
    </row>
    <row r="153" spans="1:5">
      <c r="A153" t="str">
        <f t="shared" si="4"/>
        <v>풍신32</v>
      </c>
      <c r="B153" t="s">
        <v>12</v>
      </c>
      <c r="C153" s="4">
        <v>3</v>
      </c>
      <c r="D153" s="4">
        <v>2</v>
      </c>
      <c r="E153" t="s">
        <v>205</v>
      </c>
    </row>
    <row r="154" spans="1:5">
      <c r="A154" t="str">
        <f t="shared" si="4"/>
        <v>폭쇄11</v>
      </c>
      <c r="B154" t="s">
        <v>13</v>
      </c>
      <c r="C154" s="4">
        <v>1</v>
      </c>
      <c r="D154" s="4">
        <v>1</v>
      </c>
      <c r="E154" t="s">
        <v>198</v>
      </c>
    </row>
    <row r="155" spans="1:5">
      <c r="A155" t="str">
        <f t="shared" si="4"/>
        <v>폭쇄12</v>
      </c>
      <c r="B155" t="s">
        <v>13</v>
      </c>
      <c r="C155" s="4">
        <v>1</v>
      </c>
      <c r="D155" s="4">
        <v>2</v>
      </c>
      <c r="E155" t="s">
        <v>198</v>
      </c>
    </row>
    <row r="156" spans="1:5">
      <c r="A156" t="str">
        <f t="shared" si="4"/>
        <v>폭쇄13</v>
      </c>
      <c r="B156" t="s">
        <v>13</v>
      </c>
      <c r="C156" s="4">
        <v>1</v>
      </c>
      <c r="D156" s="4">
        <v>3</v>
      </c>
      <c r="E156" t="s">
        <v>207</v>
      </c>
    </row>
    <row r="157" spans="1:5">
      <c r="A157" t="str">
        <f t="shared" si="4"/>
        <v>폭쇄21</v>
      </c>
      <c r="B157" t="s">
        <v>13</v>
      </c>
      <c r="C157" s="4">
        <v>2</v>
      </c>
      <c r="D157" s="4">
        <v>1</v>
      </c>
      <c r="E157" t="s">
        <v>215</v>
      </c>
    </row>
    <row r="158" spans="1:5">
      <c r="A158" t="str">
        <f t="shared" si="4"/>
        <v>폭쇄22</v>
      </c>
      <c r="B158" t="s">
        <v>13</v>
      </c>
      <c r="C158" s="4">
        <v>2</v>
      </c>
      <c r="D158" s="4">
        <v>2</v>
      </c>
      <c r="E158" t="s">
        <v>206</v>
      </c>
    </row>
    <row r="159" spans="1:5">
      <c r="A159" t="str">
        <f t="shared" si="4"/>
        <v>폭쇄23</v>
      </c>
      <c r="B159" t="s">
        <v>13</v>
      </c>
      <c r="C159" s="4">
        <v>2</v>
      </c>
      <c r="D159" s="4">
        <v>3</v>
      </c>
      <c r="E159" t="s">
        <v>267</v>
      </c>
    </row>
    <row r="160" spans="1:5">
      <c r="A160" t="str">
        <f t="shared" si="4"/>
        <v>폭쇄31</v>
      </c>
      <c r="B160" t="s">
        <v>13</v>
      </c>
      <c r="C160" s="4">
        <v>3</v>
      </c>
      <c r="D160" s="4">
        <v>1</v>
      </c>
      <c r="E160" t="s">
        <v>208</v>
      </c>
    </row>
    <row r="161" spans="1:5">
      <c r="A161" t="str">
        <f t="shared" ref="A161:A221" si="5">B161&amp;C161&amp;D161</f>
        <v>폭쇄32</v>
      </c>
      <c r="B161" t="s">
        <v>13</v>
      </c>
      <c r="C161" s="16">
        <v>3</v>
      </c>
      <c r="D161" s="16">
        <v>2</v>
      </c>
      <c r="E161" t="s">
        <v>1</v>
      </c>
    </row>
    <row r="162" spans="1:5">
      <c r="A162" t="str">
        <f t="shared" si="5"/>
        <v>삼연1-</v>
      </c>
      <c r="B162" t="s">
        <v>23</v>
      </c>
      <c r="C162" s="16">
        <v>1</v>
      </c>
      <c r="D162" s="16" t="s">
        <v>255</v>
      </c>
      <c r="E162" t="s">
        <v>255</v>
      </c>
    </row>
    <row r="163" spans="1:5">
      <c r="A163" t="str">
        <f t="shared" si="5"/>
        <v>삼연2-</v>
      </c>
      <c r="B163" t="s">
        <v>23</v>
      </c>
      <c r="C163" s="16">
        <v>2</v>
      </c>
      <c r="D163" s="16" t="s">
        <v>255</v>
      </c>
      <c r="E163" t="s">
        <v>255</v>
      </c>
    </row>
    <row r="164" spans="1:5">
      <c r="A164" t="str">
        <f t="shared" si="5"/>
        <v>삼연3-</v>
      </c>
      <c r="B164" t="s">
        <v>23</v>
      </c>
      <c r="C164" s="16">
        <v>3</v>
      </c>
      <c r="D164" s="16" t="s">
        <v>255</v>
      </c>
      <c r="E164" t="s">
        <v>255</v>
      </c>
    </row>
    <row r="165" spans="1:5">
      <c r="A165" t="str">
        <f t="shared" si="5"/>
        <v>오연1-</v>
      </c>
      <c r="B165" t="s">
        <v>146</v>
      </c>
      <c r="C165" s="16">
        <v>1</v>
      </c>
      <c r="D165" s="16" t="s">
        <v>255</v>
      </c>
      <c r="E165" t="s">
        <v>255</v>
      </c>
    </row>
    <row r="166" spans="1:5">
      <c r="A166" t="str">
        <f t="shared" si="5"/>
        <v>오연2-</v>
      </c>
      <c r="B166" t="s">
        <v>146</v>
      </c>
      <c r="C166" s="16">
        <v>2</v>
      </c>
      <c r="D166" s="16" t="s">
        <v>255</v>
      </c>
      <c r="E166" t="s">
        <v>255</v>
      </c>
    </row>
    <row r="167" spans="1:5">
      <c r="A167" t="str">
        <f t="shared" si="5"/>
        <v>오연3-</v>
      </c>
      <c r="B167" t="s">
        <v>146</v>
      </c>
      <c r="C167" s="16">
        <v>3</v>
      </c>
      <c r="D167" s="16" t="s">
        <v>255</v>
      </c>
      <c r="E167" t="s">
        <v>255</v>
      </c>
    </row>
    <row r="168" spans="1:5">
      <c r="A168" t="str">
        <f t="shared" si="5"/>
        <v>붕천1-</v>
      </c>
      <c r="B168" t="s">
        <v>24</v>
      </c>
      <c r="C168" s="16">
        <v>1</v>
      </c>
      <c r="D168" s="16" t="s">
        <v>255</v>
      </c>
      <c r="E168" t="s">
        <v>255</v>
      </c>
    </row>
    <row r="169" spans="1:5">
      <c r="A169" t="str">
        <f t="shared" si="5"/>
        <v>붕천2-</v>
      </c>
      <c r="B169" t="s">
        <v>24</v>
      </c>
      <c r="C169" s="16">
        <v>2</v>
      </c>
      <c r="D169" s="16" t="s">
        <v>255</v>
      </c>
      <c r="E169" t="s">
        <v>255</v>
      </c>
    </row>
    <row r="170" spans="1:5">
      <c r="A170" t="str">
        <f t="shared" si="5"/>
        <v>붕천3-</v>
      </c>
      <c r="B170" t="s">
        <v>24</v>
      </c>
      <c r="C170" s="16">
        <v>3</v>
      </c>
      <c r="D170" s="16" t="s">
        <v>255</v>
      </c>
      <c r="E170" t="s">
        <v>255</v>
      </c>
    </row>
    <row r="171" spans="1:5">
      <c r="A171" t="str">
        <f t="shared" si="5"/>
        <v>뇌명1-</v>
      </c>
      <c r="B171" t="s">
        <v>25</v>
      </c>
      <c r="C171" s="16">
        <v>1</v>
      </c>
      <c r="D171" s="16" t="s">
        <v>255</v>
      </c>
      <c r="E171" t="s">
        <v>255</v>
      </c>
    </row>
    <row r="172" spans="1:5">
      <c r="A172" t="str">
        <f t="shared" si="5"/>
        <v>뇌명2-</v>
      </c>
      <c r="B172" t="s">
        <v>25</v>
      </c>
      <c r="C172" s="16">
        <v>2</v>
      </c>
      <c r="D172" s="16" t="s">
        <v>255</v>
      </c>
      <c r="E172" t="s">
        <v>255</v>
      </c>
    </row>
    <row r="173" spans="1:5">
      <c r="A173" t="str">
        <f t="shared" si="5"/>
        <v>뇌명3-</v>
      </c>
      <c r="B173" t="s">
        <v>25</v>
      </c>
      <c r="C173" s="16">
        <v>3</v>
      </c>
      <c r="D173" s="16" t="s">
        <v>255</v>
      </c>
      <c r="E173" t="s">
        <v>255</v>
      </c>
    </row>
    <row r="174" spans="1:5">
      <c r="A174" t="str">
        <f t="shared" si="5"/>
        <v>섬열1-</v>
      </c>
      <c r="B174" t="s">
        <v>3</v>
      </c>
      <c r="C174" s="16">
        <v>1</v>
      </c>
      <c r="D174" s="16" t="s">
        <v>255</v>
      </c>
      <c r="E174" t="s">
        <v>255</v>
      </c>
    </row>
    <row r="175" spans="1:5">
      <c r="A175" t="str">
        <f t="shared" si="5"/>
        <v>섬열2-</v>
      </c>
      <c r="B175" t="s">
        <v>3</v>
      </c>
      <c r="C175" s="16">
        <v>2</v>
      </c>
      <c r="D175" s="16" t="s">
        <v>255</v>
      </c>
      <c r="E175" t="s">
        <v>255</v>
      </c>
    </row>
    <row r="176" spans="1:5">
      <c r="A176" t="str">
        <f t="shared" si="5"/>
        <v>섬열3-</v>
      </c>
      <c r="B176" t="s">
        <v>3</v>
      </c>
      <c r="C176" s="16">
        <v>3</v>
      </c>
      <c r="D176" s="16" t="s">
        <v>255</v>
      </c>
      <c r="E176" t="s">
        <v>255</v>
      </c>
    </row>
    <row r="177" spans="1:5">
      <c r="A177" t="str">
        <f t="shared" si="5"/>
        <v>월섬1-</v>
      </c>
      <c r="B177" t="s">
        <v>4</v>
      </c>
      <c r="C177" s="16">
        <v>1</v>
      </c>
      <c r="D177" s="16" t="s">
        <v>255</v>
      </c>
      <c r="E177" t="s">
        <v>255</v>
      </c>
    </row>
    <row r="178" spans="1:5">
      <c r="A178" t="str">
        <f t="shared" si="5"/>
        <v>월섬2-</v>
      </c>
      <c r="B178" t="s">
        <v>4</v>
      </c>
      <c r="C178" s="16">
        <v>2</v>
      </c>
      <c r="D178" s="16" t="s">
        <v>255</v>
      </c>
      <c r="E178" t="s">
        <v>255</v>
      </c>
    </row>
    <row r="179" spans="1:5">
      <c r="A179" t="str">
        <f t="shared" si="5"/>
        <v>월섬3-</v>
      </c>
      <c r="B179" t="s">
        <v>4</v>
      </c>
      <c r="C179" s="16">
        <v>3</v>
      </c>
      <c r="D179" s="16" t="s">
        <v>255</v>
      </c>
      <c r="E179" t="s">
        <v>255</v>
      </c>
    </row>
    <row r="180" spans="1:5">
      <c r="A180" t="str">
        <f t="shared" si="5"/>
        <v>지뢰1-</v>
      </c>
      <c r="B180" t="s">
        <v>26</v>
      </c>
      <c r="C180" s="16">
        <v>1</v>
      </c>
      <c r="D180" s="16" t="s">
        <v>255</v>
      </c>
      <c r="E180" t="s">
        <v>255</v>
      </c>
    </row>
    <row r="181" spans="1:5">
      <c r="A181" t="str">
        <f t="shared" si="5"/>
        <v>지뢰2-</v>
      </c>
      <c r="B181" t="s">
        <v>26</v>
      </c>
      <c r="C181" s="16">
        <v>2</v>
      </c>
      <c r="D181" s="16" t="s">
        <v>255</v>
      </c>
      <c r="E181" t="s">
        <v>255</v>
      </c>
    </row>
    <row r="182" spans="1:5">
      <c r="A182" t="str">
        <f t="shared" si="5"/>
        <v>지뢰3-</v>
      </c>
      <c r="B182" t="s">
        <v>26</v>
      </c>
      <c r="C182" s="16">
        <v>3</v>
      </c>
      <c r="D182" s="16" t="s">
        <v>255</v>
      </c>
      <c r="E182" t="s">
        <v>255</v>
      </c>
    </row>
    <row r="183" spans="1:5">
      <c r="A183" t="str">
        <f t="shared" si="5"/>
        <v>바속3-</v>
      </c>
      <c r="B183" t="s">
        <v>5</v>
      </c>
      <c r="C183" s="16">
        <v>3</v>
      </c>
      <c r="D183" s="16" t="s">
        <v>255</v>
      </c>
      <c r="E183" t="s">
        <v>255</v>
      </c>
    </row>
    <row r="184" spans="1:5">
      <c r="A184" t="str">
        <f t="shared" si="5"/>
        <v>잠룡1-</v>
      </c>
      <c r="B184" t="s">
        <v>31</v>
      </c>
      <c r="C184" s="16">
        <v>1</v>
      </c>
      <c r="D184" s="16" t="s">
        <v>255</v>
      </c>
      <c r="E184" t="s">
        <v>255</v>
      </c>
    </row>
    <row r="185" spans="1:5">
      <c r="A185" t="str">
        <f t="shared" si="5"/>
        <v>잠룡2-</v>
      </c>
      <c r="B185" t="s">
        <v>31</v>
      </c>
      <c r="C185" s="16">
        <v>2</v>
      </c>
      <c r="D185" s="16" t="s">
        <v>255</v>
      </c>
      <c r="E185" t="s">
        <v>255</v>
      </c>
    </row>
    <row r="186" spans="1:5">
      <c r="A186" t="str">
        <f t="shared" si="5"/>
        <v>잠룡3-</v>
      </c>
      <c r="B186" t="s">
        <v>31</v>
      </c>
      <c r="C186" s="16">
        <v>3</v>
      </c>
      <c r="D186" s="16" t="s">
        <v>255</v>
      </c>
      <c r="E186" t="s">
        <v>255</v>
      </c>
    </row>
    <row r="187" spans="1:5">
      <c r="A187" t="str">
        <f t="shared" si="5"/>
        <v>초풍1-</v>
      </c>
      <c r="B187" t="s">
        <v>27</v>
      </c>
      <c r="C187" s="16">
        <v>1</v>
      </c>
      <c r="D187" s="16" t="s">
        <v>255</v>
      </c>
      <c r="E187" t="s">
        <v>255</v>
      </c>
    </row>
    <row r="188" spans="1:5">
      <c r="A188" t="str">
        <f t="shared" si="5"/>
        <v>초풍2-</v>
      </c>
      <c r="B188" t="s">
        <v>27</v>
      </c>
      <c r="C188" s="16">
        <v>2</v>
      </c>
      <c r="D188" s="16" t="s">
        <v>255</v>
      </c>
      <c r="E188" t="s">
        <v>255</v>
      </c>
    </row>
    <row r="189" spans="1:5">
      <c r="A189" t="str">
        <f t="shared" si="5"/>
        <v>초풍3-</v>
      </c>
      <c r="B189" t="s">
        <v>27</v>
      </c>
      <c r="C189" s="16">
        <v>3</v>
      </c>
      <c r="D189" s="16" t="s">
        <v>255</v>
      </c>
      <c r="E189" t="s">
        <v>255</v>
      </c>
    </row>
    <row r="190" spans="1:5">
      <c r="A190" t="str">
        <f t="shared" si="5"/>
        <v>화조1-</v>
      </c>
      <c r="B190" t="s">
        <v>6</v>
      </c>
      <c r="C190" s="16">
        <v>1</v>
      </c>
      <c r="D190" s="16" t="s">
        <v>255</v>
      </c>
      <c r="E190" t="s">
        <v>255</v>
      </c>
    </row>
    <row r="191" spans="1:5">
      <c r="A191" t="str">
        <f t="shared" si="5"/>
        <v>화조2-</v>
      </c>
      <c r="B191" t="s">
        <v>6</v>
      </c>
      <c r="C191" s="16">
        <v>2</v>
      </c>
      <c r="D191" s="16" t="s">
        <v>255</v>
      </c>
      <c r="E191" t="s">
        <v>255</v>
      </c>
    </row>
    <row r="192" spans="1:5">
      <c r="A192" t="str">
        <f t="shared" si="5"/>
        <v>화조3-</v>
      </c>
      <c r="B192" t="s">
        <v>6</v>
      </c>
      <c r="C192" s="16">
        <v>3</v>
      </c>
      <c r="D192" s="16" t="s">
        <v>255</v>
      </c>
      <c r="E192" t="s">
        <v>255</v>
      </c>
    </row>
    <row r="193" spans="1:5">
      <c r="A193" t="str">
        <f t="shared" si="5"/>
        <v>용포1-</v>
      </c>
      <c r="B193" t="s">
        <v>7</v>
      </c>
      <c r="C193" s="16">
        <v>1</v>
      </c>
      <c r="D193" s="16" t="s">
        <v>255</v>
      </c>
      <c r="E193" t="s">
        <v>255</v>
      </c>
    </row>
    <row r="194" spans="1:5">
      <c r="A194" t="str">
        <f t="shared" si="5"/>
        <v>용포2-</v>
      </c>
      <c r="B194" t="s">
        <v>7</v>
      </c>
      <c r="C194" s="16">
        <v>2</v>
      </c>
      <c r="D194" s="16" t="s">
        <v>255</v>
      </c>
      <c r="E194" t="s">
        <v>255</v>
      </c>
    </row>
    <row r="195" spans="1:5">
      <c r="A195" t="str">
        <f t="shared" si="5"/>
        <v>용포3-</v>
      </c>
      <c r="B195" t="s">
        <v>7</v>
      </c>
      <c r="C195" s="16">
        <v>3</v>
      </c>
      <c r="D195" s="16" t="s">
        <v>255</v>
      </c>
      <c r="E195" t="s">
        <v>255</v>
      </c>
    </row>
    <row r="196" spans="1:5">
      <c r="A196" t="str">
        <f t="shared" si="5"/>
        <v>방천1-</v>
      </c>
      <c r="B196" t="s">
        <v>8</v>
      </c>
      <c r="C196" s="16">
        <v>1</v>
      </c>
      <c r="D196" s="16" t="s">
        <v>255</v>
      </c>
      <c r="E196" t="s">
        <v>255</v>
      </c>
    </row>
    <row r="197" spans="1:5">
      <c r="A197" t="str">
        <f t="shared" si="5"/>
        <v>방천2-</v>
      </c>
      <c r="B197" t="s">
        <v>8</v>
      </c>
      <c r="C197" s="16">
        <v>2</v>
      </c>
      <c r="D197" s="16" t="s">
        <v>255</v>
      </c>
      <c r="E197" t="s">
        <v>255</v>
      </c>
    </row>
    <row r="198" spans="1:5">
      <c r="A198" t="str">
        <f t="shared" si="5"/>
        <v>방천3-</v>
      </c>
      <c r="B198" t="s">
        <v>8</v>
      </c>
      <c r="C198" s="16">
        <v>3</v>
      </c>
      <c r="D198" s="16" t="s">
        <v>255</v>
      </c>
      <c r="E198" t="s">
        <v>255</v>
      </c>
    </row>
    <row r="199" spans="1:5">
      <c r="A199" t="str">
        <f t="shared" si="5"/>
        <v>내연1-</v>
      </c>
      <c r="B199" t="s">
        <v>28</v>
      </c>
      <c r="C199" s="16">
        <v>1</v>
      </c>
      <c r="D199" s="16" t="s">
        <v>255</v>
      </c>
      <c r="E199" t="s">
        <v>255</v>
      </c>
    </row>
    <row r="200" spans="1:5">
      <c r="A200" t="str">
        <f t="shared" si="5"/>
        <v>내연2-</v>
      </c>
      <c r="B200" t="s">
        <v>28</v>
      </c>
      <c r="C200" s="16">
        <v>2</v>
      </c>
      <c r="D200" s="16" t="s">
        <v>255</v>
      </c>
      <c r="E200" t="s">
        <v>255</v>
      </c>
    </row>
    <row r="201" spans="1:5">
      <c r="A201" t="str">
        <f t="shared" si="5"/>
        <v>내연3-</v>
      </c>
      <c r="B201" t="s">
        <v>28</v>
      </c>
      <c r="C201" s="16">
        <v>3</v>
      </c>
      <c r="D201" s="16" t="s">
        <v>255</v>
      </c>
      <c r="E201" t="s">
        <v>255</v>
      </c>
    </row>
    <row r="202" spans="1:5">
      <c r="A202" t="str">
        <f t="shared" si="5"/>
        <v>나선1-</v>
      </c>
      <c r="B202" t="s">
        <v>9</v>
      </c>
      <c r="C202" s="16">
        <v>1</v>
      </c>
      <c r="D202" s="16" t="s">
        <v>255</v>
      </c>
      <c r="E202" t="s">
        <v>255</v>
      </c>
    </row>
    <row r="203" spans="1:5">
      <c r="A203" t="str">
        <f t="shared" si="5"/>
        <v>나선2-</v>
      </c>
      <c r="B203" t="s">
        <v>9</v>
      </c>
      <c r="C203" s="16">
        <v>2</v>
      </c>
      <c r="D203" s="16" t="s">
        <v>255</v>
      </c>
      <c r="E203" t="s">
        <v>255</v>
      </c>
    </row>
    <row r="204" spans="1:5">
      <c r="A204" t="str">
        <f t="shared" si="5"/>
        <v>나선3-</v>
      </c>
      <c r="B204" t="s">
        <v>9</v>
      </c>
      <c r="C204" s="16">
        <v>3</v>
      </c>
      <c r="D204" s="16" t="s">
        <v>255</v>
      </c>
      <c r="E204" t="s">
        <v>255</v>
      </c>
    </row>
    <row r="205" spans="1:5">
      <c r="A205" t="str">
        <f t="shared" si="5"/>
        <v>화룡1-</v>
      </c>
      <c r="B205" t="s">
        <v>10</v>
      </c>
      <c r="C205" s="16">
        <v>1</v>
      </c>
      <c r="D205" s="16" t="s">
        <v>255</v>
      </c>
      <c r="E205" t="s">
        <v>255</v>
      </c>
    </row>
    <row r="206" spans="1:5">
      <c r="A206" t="str">
        <f t="shared" si="5"/>
        <v>화룡2-</v>
      </c>
      <c r="B206" t="s">
        <v>10</v>
      </c>
      <c r="C206" s="16">
        <v>2</v>
      </c>
      <c r="D206" s="16" t="s">
        <v>255</v>
      </c>
      <c r="E206" t="s">
        <v>255</v>
      </c>
    </row>
    <row r="207" spans="1:5">
      <c r="A207" t="str">
        <f t="shared" si="5"/>
        <v>화룡3-</v>
      </c>
      <c r="B207" t="s">
        <v>10</v>
      </c>
      <c r="C207" s="16">
        <v>3</v>
      </c>
      <c r="D207" s="16" t="s">
        <v>255</v>
      </c>
      <c r="E207" t="s">
        <v>255</v>
      </c>
    </row>
    <row r="208" spans="1:5">
      <c r="A208" t="str">
        <f t="shared" si="5"/>
        <v>화룡(H)1-</v>
      </c>
      <c r="B208" t="s">
        <v>256</v>
      </c>
      <c r="C208" s="16">
        <v>1</v>
      </c>
      <c r="D208" s="16" t="s">
        <v>255</v>
      </c>
      <c r="E208" t="s">
        <v>255</v>
      </c>
    </row>
    <row r="209" spans="1:5">
      <c r="A209" t="str">
        <f t="shared" si="5"/>
        <v>화룡(H)2-</v>
      </c>
      <c r="B209" t="s">
        <v>256</v>
      </c>
      <c r="C209" s="16">
        <v>2</v>
      </c>
      <c r="D209" s="16" t="s">
        <v>255</v>
      </c>
      <c r="E209" t="s">
        <v>255</v>
      </c>
    </row>
    <row r="210" spans="1:5">
      <c r="A210" t="str">
        <f t="shared" si="5"/>
        <v>화룡(H)3-</v>
      </c>
      <c r="B210" t="s">
        <v>256</v>
      </c>
      <c r="C210" s="16">
        <v>3</v>
      </c>
      <c r="D210" s="16" t="s">
        <v>255</v>
      </c>
      <c r="E210" t="s">
        <v>255</v>
      </c>
    </row>
    <row r="211" spans="1:5">
      <c r="A211" t="str">
        <f t="shared" si="5"/>
        <v>뇌진1-</v>
      </c>
      <c r="B211" t="s">
        <v>11</v>
      </c>
      <c r="C211" s="16">
        <v>1</v>
      </c>
      <c r="D211" s="16" t="s">
        <v>255</v>
      </c>
      <c r="E211" t="s">
        <v>255</v>
      </c>
    </row>
    <row r="212" spans="1:5">
      <c r="A212" t="str">
        <f t="shared" si="5"/>
        <v>뇌진2-</v>
      </c>
      <c r="B212" t="s">
        <v>11</v>
      </c>
      <c r="C212" s="16">
        <v>2</v>
      </c>
      <c r="D212" s="16" t="s">
        <v>255</v>
      </c>
      <c r="E212" t="s">
        <v>255</v>
      </c>
    </row>
    <row r="213" spans="1:5">
      <c r="A213" t="str">
        <f t="shared" si="5"/>
        <v>뇌진3-</v>
      </c>
      <c r="B213" t="s">
        <v>11</v>
      </c>
      <c r="C213" s="16">
        <v>3</v>
      </c>
      <c r="D213" s="16" t="s">
        <v>255</v>
      </c>
      <c r="E213" t="s">
        <v>255</v>
      </c>
    </row>
    <row r="214" spans="1:5">
      <c r="A214" t="str">
        <f t="shared" si="5"/>
        <v>바속1-</v>
      </c>
      <c r="B214" t="s">
        <v>5</v>
      </c>
      <c r="C214" s="16">
        <v>1</v>
      </c>
      <c r="D214" s="16" t="s">
        <v>255</v>
      </c>
      <c r="E214" t="s">
        <v>255</v>
      </c>
    </row>
    <row r="215" spans="1:5">
      <c r="A215" t="str">
        <f t="shared" si="5"/>
        <v>바속2-</v>
      </c>
      <c r="B215" t="s">
        <v>5</v>
      </c>
      <c r="C215" s="16">
        <v>2</v>
      </c>
      <c r="D215" s="16" t="s">
        <v>255</v>
      </c>
      <c r="E215" t="s">
        <v>255</v>
      </c>
    </row>
    <row r="216" spans="1:5">
      <c r="A216" t="str">
        <f t="shared" si="5"/>
        <v>풍신1-</v>
      </c>
      <c r="B216" t="s">
        <v>12</v>
      </c>
      <c r="C216" s="16">
        <v>1</v>
      </c>
      <c r="D216" s="16" t="s">
        <v>255</v>
      </c>
      <c r="E216" t="s">
        <v>255</v>
      </c>
    </row>
    <row r="217" spans="1:5">
      <c r="A217" t="str">
        <f t="shared" si="5"/>
        <v>풍신2-</v>
      </c>
      <c r="B217" t="s">
        <v>12</v>
      </c>
      <c r="C217" s="16">
        <v>2</v>
      </c>
      <c r="D217" s="16" t="s">
        <v>255</v>
      </c>
      <c r="E217" t="s">
        <v>255</v>
      </c>
    </row>
    <row r="218" spans="1:5">
      <c r="A218" t="str">
        <f t="shared" si="5"/>
        <v>풍신3-</v>
      </c>
      <c r="B218" t="s">
        <v>12</v>
      </c>
      <c r="C218" s="16">
        <v>3</v>
      </c>
      <c r="D218" s="16" t="s">
        <v>255</v>
      </c>
      <c r="E218" t="s">
        <v>255</v>
      </c>
    </row>
    <row r="219" spans="1:5">
      <c r="A219" t="str">
        <f t="shared" si="5"/>
        <v>폭쇄1-</v>
      </c>
      <c r="B219" t="s">
        <v>13</v>
      </c>
      <c r="C219" s="16">
        <v>1</v>
      </c>
      <c r="D219" s="16" t="s">
        <v>255</v>
      </c>
      <c r="E219" t="s">
        <v>255</v>
      </c>
    </row>
    <row r="220" spans="1:5">
      <c r="A220" t="str">
        <f t="shared" si="5"/>
        <v>폭쇄2-</v>
      </c>
      <c r="B220" t="s">
        <v>13</v>
      </c>
      <c r="C220" s="16">
        <v>2</v>
      </c>
      <c r="D220" s="16" t="s">
        <v>255</v>
      </c>
      <c r="E220" t="s">
        <v>255</v>
      </c>
    </row>
    <row r="221" spans="1:5">
      <c r="A221" t="str">
        <f t="shared" si="5"/>
        <v>폭쇄3-</v>
      </c>
      <c r="B221" t="s">
        <v>13</v>
      </c>
      <c r="C221" s="4">
        <v>3</v>
      </c>
      <c r="D221" s="4" t="s">
        <v>255</v>
      </c>
      <c r="E221" t="s">
        <v>255</v>
      </c>
    </row>
    <row r="222" spans="1:5">
      <c r="C222" s="16"/>
      <c r="D222" s="16"/>
    </row>
  </sheetData>
  <sortState xmlns:xlrd2="http://schemas.microsoft.com/office/spreadsheetml/2017/richdata2" ref="B2:D221">
    <sortCondition ref="C2:C221"/>
    <sortCondition ref="D2:D22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4</vt:i4>
      </vt:variant>
    </vt:vector>
  </HeadingPairs>
  <TitlesOfParts>
    <vt:vector size="9" baseType="lpstr">
      <vt:lpstr>Simulator</vt:lpstr>
      <vt:lpstr>Caculator</vt:lpstr>
      <vt:lpstr>Basic Data</vt:lpstr>
      <vt:lpstr>Master</vt:lpstr>
      <vt:lpstr>Sheet3</vt:lpstr>
      <vt:lpstr>공격력</vt:lpstr>
      <vt:lpstr>오의뎀증</vt:lpstr>
      <vt:lpstr>치명</vt:lpstr>
      <vt:lpstr>쿨감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HYEUNGHOON KIM</dc:creator>
  <cp:lastModifiedBy>HYEUNGHOON KIM</cp:lastModifiedBy>
  <dcterms:created xsi:type="dcterms:W3CDTF">2018-11-29T11:19:40Z</dcterms:created>
  <dcterms:modified xsi:type="dcterms:W3CDTF">2019-01-11T19:02:55Z</dcterms:modified>
</cp:coreProperties>
</file>