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/>
  <xr:revisionPtr revIDLastSave="0" documentId="13_ncr:1_{13FCDB15-3230-4991-97B8-60E92CE3B6F4}" xr6:coauthVersionLast="41" xr6:coauthVersionMax="41" xr10:uidLastSave="{00000000-0000-0000-0000-000000000000}"/>
  <bookViews>
    <workbookView xWindow="0" yWindow="435" windowWidth="16005" windowHeight="14835" xr2:uid="{00000000-000D-0000-FFFF-FFFF00000000}"/>
  </bookViews>
  <sheets>
    <sheet name="스킬" sheetId="4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41" l="1"/>
  <c r="D34" i="41"/>
  <c r="D27" i="41"/>
  <c r="D28" i="41"/>
  <c r="D29" i="41"/>
  <c r="D30" i="41"/>
  <c r="D31" i="41"/>
  <c r="D32" i="41"/>
  <c r="D33" i="41"/>
  <c r="D26" i="41"/>
  <c r="D7" i="41"/>
  <c r="D8" i="41"/>
  <c r="D9" i="41"/>
  <c r="D10" i="41"/>
  <c r="D11" i="41"/>
  <c r="D12" i="41"/>
  <c r="D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6" i="41"/>
  <c r="C7" i="41"/>
  <c r="C8" i="41"/>
  <c r="C9" i="41"/>
  <c r="C10" i="41"/>
  <c r="C11" i="41"/>
  <c r="C12" i="41"/>
  <c r="C13" i="41"/>
  <c r="C14" i="41"/>
  <c r="C15" i="41"/>
  <c r="C16" i="41"/>
  <c r="C17" i="41"/>
  <c r="C18" i="41"/>
  <c r="C19" i="41"/>
  <c r="C20" i="41"/>
  <c r="C21" i="41"/>
  <c r="C22" i="41"/>
  <c r="C23" i="41"/>
  <c r="C24" i="41"/>
  <c r="C25" i="41"/>
  <c r="C26" i="41"/>
  <c r="C27" i="41"/>
  <c r="C28" i="41"/>
  <c r="C29" i="41"/>
  <c r="C30" i="41"/>
  <c r="C31" i="41"/>
  <c r="C32" i="41"/>
  <c r="C33" i="41"/>
  <c r="C34" i="41"/>
  <c r="C35" i="41"/>
  <c r="C6" i="41"/>
  <c r="Q8" i="41" l="1"/>
  <c r="R8" i="41"/>
  <c r="Q9" i="41"/>
  <c r="R9" i="41"/>
  <c r="Q14" i="41"/>
  <c r="B14" i="41" s="1"/>
  <c r="H14" i="41" s="1"/>
  <c r="I14" i="41" s="1"/>
  <c r="R14" i="41"/>
  <c r="Q15" i="41"/>
  <c r="R15" i="41"/>
  <c r="Q16" i="41"/>
  <c r="B16" i="41" s="1"/>
  <c r="H16" i="41" s="1"/>
  <c r="I16" i="41" s="1"/>
  <c r="R16" i="41"/>
  <c r="Q17" i="41"/>
  <c r="R17" i="41"/>
  <c r="Q18" i="41"/>
  <c r="B18" i="41" s="1"/>
  <c r="H18" i="41" s="1"/>
  <c r="I18" i="41" s="1"/>
  <c r="R18" i="41"/>
  <c r="Q19" i="41"/>
  <c r="R19" i="41"/>
  <c r="Q20" i="41"/>
  <c r="B20" i="41" s="1"/>
  <c r="H20" i="41" s="1"/>
  <c r="I20" i="41" s="1"/>
  <c r="R20" i="41"/>
  <c r="Q21" i="41"/>
  <c r="R21" i="41"/>
  <c r="Q24" i="41"/>
  <c r="R25" i="41"/>
  <c r="Q28" i="41"/>
  <c r="R28" i="41"/>
  <c r="Q29" i="41"/>
  <c r="R29" i="41"/>
  <c r="Q30" i="41"/>
  <c r="R30" i="41"/>
  <c r="Q33" i="41"/>
  <c r="R33" i="41"/>
  <c r="Q34" i="41"/>
  <c r="R34" i="41"/>
  <c r="Q35" i="41"/>
  <c r="R35" i="41"/>
  <c r="AD32" i="41"/>
  <c r="Z32" i="41"/>
  <c r="V32" i="41"/>
  <c r="Q32" i="41" s="1"/>
  <c r="X31" i="41"/>
  <c r="W31" i="41"/>
  <c r="V31" i="41"/>
  <c r="Q31" i="41" s="1"/>
  <c r="AM27" i="41"/>
  <c r="AJ27" i="41"/>
  <c r="AG27" i="41"/>
  <c r="AD27" i="41"/>
  <c r="Z27" i="41"/>
  <c r="V26" i="41"/>
  <c r="Q26" i="41" s="1"/>
  <c r="AB25" i="41"/>
  <c r="AA25" i="41"/>
  <c r="AB23" i="41"/>
  <c r="R23" i="41" s="1"/>
  <c r="AA23" i="41"/>
  <c r="Z25" i="41"/>
  <c r="Z24" i="41"/>
  <c r="R24" i="41" s="1"/>
  <c r="Z22" i="41"/>
  <c r="V22" i="41"/>
  <c r="Q22" i="41" s="1"/>
  <c r="AD22" i="41"/>
  <c r="V13" i="41"/>
  <c r="Q13" i="41" s="1"/>
  <c r="AG12" i="41"/>
  <c r="Q12" i="41" s="1"/>
  <c r="Z11" i="41"/>
  <c r="Q11" i="41" s="1"/>
  <c r="Z10" i="41"/>
  <c r="V10" i="41"/>
  <c r="Q10" i="41" s="1"/>
  <c r="AJ7" i="41"/>
  <c r="AG7" i="41"/>
  <c r="AD7" i="41"/>
  <c r="Z7" i="41"/>
  <c r="V7" i="41"/>
  <c r="AD6" i="41"/>
  <c r="Z6" i="41"/>
  <c r="V6" i="41"/>
  <c r="X6" i="41"/>
  <c r="W6" i="41"/>
  <c r="B26" i="41" l="1"/>
  <c r="H26" i="41" s="1"/>
  <c r="I26" i="41" s="1"/>
  <c r="B24" i="41"/>
  <c r="H24" i="41" s="1"/>
  <c r="I24" i="41" s="1"/>
  <c r="R6" i="41"/>
  <c r="B6" i="41" s="1"/>
  <c r="H6" i="41" s="1"/>
  <c r="I6" i="41" s="1"/>
  <c r="Q7" i="41"/>
  <c r="B7" i="41" s="1"/>
  <c r="H7" i="41" s="1"/>
  <c r="I7" i="41" s="1"/>
  <c r="Q27" i="41"/>
  <c r="B27" i="41" s="1"/>
  <c r="H27" i="41" s="1"/>
  <c r="I27" i="41" s="1"/>
  <c r="B34" i="41"/>
  <c r="H34" i="41" s="1"/>
  <c r="I34" i="41" s="1"/>
  <c r="B30" i="41"/>
  <c r="H30" i="41" s="1"/>
  <c r="I30" i="41" s="1"/>
  <c r="B28" i="41"/>
  <c r="H28" i="41" s="1"/>
  <c r="I28" i="41" s="1"/>
  <c r="R12" i="41"/>
  <c r="B9" i="41"/>
  <c r="H9" i="41" s="1"/>
  <c r="I9" i="41" s="1"/>
  <c r="B31" i="41"/>
  <c r="H31" i="41" s="1"/>
  <c r="I31" i="41" s="1"/>
  <c r="B21" i="41"/>
  <c r="H21" i="41" s="1"/>
  <c r="I21" i="41" s="1"/>
  <c r="B19" i="41"/>
  <c r="H19" i="41" s="1"/>
  <c r="I19" i="41" s="1"/>
  <c r="B17" i="41"/>
  <c r="H17" i="41" s="1"/>
  <c r="I17" i="41" s="1"/>
  <c r="B15" i="41"/>
  <c r="H15" i="41" s="1"/>
  <c r="I15" i="41" s="1"/>
  <c r="R10" i="41"/>
  <c r="B10" i="41" s="1"/>
  <c r="H10" i="41" s="1"/>
  <c r="I10" i="41" s="1"/>
  <c r="Q6" i="41"/>
  <c r="Q25" i="41"/>
  <c r="B25" i="41" s="1"/>
  <c r="H25" i="41" s="1"/>
  <c r="I25" i="41" s="1"/>
  <c r="B35" i="41"/>
  <c r="H35" i="41" s="1"/>
  <c r="I35" i="41" s="1"/>
  <c r="B33" i="41"/>
  <c r="H33" i="41" s="1"/>
  <c r="I33" i="41" s="1"/>
  <c r="B29" i="41"/>
  <c r="H29" i="41" s="1"/>
  <c r="I29" i="41" s="1"/>
  <c r="B8" i="41"/>
  <c r="H8" i="41" s="1"/>
  <c r="I8" i="41" s="1"/>
  <c r="R32" i="41"/>
  <c r="B32" i="41" s="1"/>
  <c r="H32" i="41" s="1"/>
  <c r="I32" i="41" s="1"/>
  <c r="R26" i="41"/>
  <c r="R22" i="41"/>
  <c r="B22" i="41" s="1"/>
  <c r="H22" i="41" s="1"/>
  <c r="I22" i="41" s="1"/>
  <c r="R31" i="41"/>
  <c r="R27" i="41"/>
  <c r="R13" i="41"/>
  <c r="B13" i="41" s="1"/>
  <c r="H13" i="41" s="1"/>
  <c r="I13" i="41" s="1"/>
  <c r="R11" i="41"/>
  <c r="R7" i="41"/>
  <c r="Q23" i="41"/>
  <c r="B23" i="41" l="1"/>
  <c r="H23" i="41" s="1"/>
  <c r="I23" i="41" s="1"/>
  <c r="B12" i="41"/>
  <c r="H12" i="41" s="1"/>
  <c r="I12" i="41" s="1"/>
  <c r="B11" i="41"/>
  <c r="H11" i="41" s="1"/>
  <c r="I11" i="4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만든 이</author>
  </authors>
  <commentList>
    <comment ref="Y6" authorId="0" shapeId="0" xr:uid="{969EC4C4-8FD0-4902-A4A9-B7C3854ADFEE}">
      <text>
        <r>
          <rPr>
            <b/>
            <sz val="9"/>
            <color indexed="81"/>
            <rFont val="돋움"/>
            <family val="3"/>
            <charset val="129"/>
          </rPr>
          <t>실제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데미지</t>
        </r>
        <r>
          <rPr>
            <b/>
            <sz val="9"/>
            <color indexed="81"/>
            <rFont val="Tahoma"/>
            <family val="2"/>
          </rPr>
          <t xml:space="preserve"> 140%</t>
        </r>
      </text>
    </comment>
    <comment ref="V8" authorId="0" shapeId="0" xr:uid="{41D491F3-19DB-455B-8289-FD461FF598CC}">
      <text>
        <r>
          <rPr>
            <b/>
            <sz val="9"/>
            <color indexed="81"/>
            <rFont val="돋움"/>
            <family val="3"/>
            <charset val="129"/>
          </rPr>
          <t>툴팁과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다름(툴팁 250%)</t>
        </r>
      </text>
    </comment>
    <comment ref="AK9" authorId="0" shapeId="0" xr:uid="{89142AE1-4DEC-4D6A-960F-99DA9A40FB08}">
      <text>
        <r>
          <rPr>
            <b/>
            <sz val="9"/>
            <color indexed="81"/>
            <rFont val="돋움"/>
            <family val="3"/>
            <charset val="129"/>
          </rPr>
          <t>넘어진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추가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피해</t>
        </r>
      </text>
    </comment>
    <comment ref="AK10" authorId="0" shapeId="0" xr:uid="{1C3C4524-7BE4-481C-A0C4-5464ADB257FA}">
      <text>
        <r>
          <rPr>
            <b/>
            <sz val="9"/>
            <color indexed="81"/>
            <rFont val="돋움"/>
            <family val="3"/>
            <charset val="129"/>
          </rPr>
          <t>넘어진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추가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피해</t>
        </r>
      </text>
    </comment>
    <comment ref="U12" authorId="0" shapeId="0" xr:uid="{526D5462-9B21-41B8-A2CE-7C98627E1ADF}">
      <text>
        <r>
          <rPr>
            <b/>
            <sz val="9"/>
            <color indexed="81"/>
            <rFont val="돋움"/>
            <family val="3"/>
            <charset val="129"/>
          </rPr>
          <t>툴팁에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첫타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표시안됨
첫타</t>
        </r>
        <r>
          <rPr>
            <b/>
            <sz val="9"/>
            <color indexed="81"/>
            <rFont val="Tahoma"/>
            <family val="2"/>
          </rPr>
          <t>=2</t>
        </r>
        <r>
          <rPr>
            <b/>
            <sz val="9"/>
            <color indexed="81"/>
            <rFont val="돋움"/>
            <family val="3"/>
            <charset val="129"/>
          </rPr>
          <t>타</t>
        </r>
        <r>
          <rPr>
            <b/>
            <sz val="9"/>
            <color indexed="81"/>
            <rFont val="Tahoma"/>
            <family val="2"/>
          </rPr>
          <t xml:space="preserve"> 130%</t>
        </r>
      </text>
    </comment>
    <comment ref="AG12" authorId="0" shapeId="0" xr:uid="{F7B98359-4D84-41FD-B8F4-58D7D299302F}">
      <text>
        <r>
          <rPr>
            <b/>
            <sz val="9"/>
            <color indexed="81"/>
            <rFont val="돋움"/>
            <family val="3"/>
            <charset val="129"/>
          </rPr>
          <t>툴팁과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다름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툴팁</t>
        </r>
        <r>
          <rPr>
            <b/>
            <sz val="9"/>
            <color indexed="81"/>
            <rFont val="Tahoma"/>
            <family val="2"/>
          </rPr>
          <t xml:space="preserve"> 525%)</t>
        </r>
      </text>
    </comment>
    <comment ref="U18" authorId="0" shapeId="0" xr:uid="{587C8469-4E8D-4316-B67A-30CB0FEE47EA}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안들어감</t>
        </r>
      </text>
    </comment>
    <comment ref="U19" authorId="0" shapeId="0" xr:uid="{AF5F9F60-E0F7-47E4-848D-BE26FE7B5924}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안들어감</t>
        </r>
      </text>
    </comment>
    <comment ref="Y22" authorId="0" shapeId="0" xr:uid="{7E584A3C-1D88-4224-8F63-FB0BFD60FC69}">
      <text>
        <r>
          <rPr>
            <b/>
            <sz val="9"/>
            <color indexed="81"/>
            <rFont val="Tahoma"/>
            <family val="2"/>
          </rPr>
          <t>4</t>
        </r>
        <r>
          <rPr>
            <b/>
            <sz val="9"/>
            <color indexed="81"/>
            <rFont val="돋움"/>
            <family val="3"/>
            <charset val="129"/>
          </rPr>
          <t>타</t>
        </r>
        <r>
          <rPr>
            <b/>
            <sz val="9"/>
            <color indexed="81"/>
            <rFont val="Tahoma"/>
            <family val="2"/>
          </rPr>
          <t>=3</t>
        </r>
        <r>
          <rPr>
            <b/>
            <sz val="9"/>
            <color indexed="81"/>
            <rFont val="돋움"/>
            <family val="3"/>
            <charset val="129"/>
          </rPr>
          <t>타</t>
        </r>
        <r>
          <rPr>
            <b/>
            <sz val="9"/>
            <color indexed="81"/>
            <rFont val="Tahoma"/>
            <family val="2"/>
          </rPr>
          <t xml:space="preserve"> 125%</t>
        </r>
      </text>
    </comment>
    <comment ref="AA23" authorId="0" shapeId="0" xr:uid="{84306D20-1300-4C78-9992-B6DBFF0823F3}">
      <text>
        <r>
          <rPr>
            <b/>
            <sz val="9"/>
            <color indexed="81"/>
            <rFont val="돋움"/>
            <family val="3"/>
            <charset val="129"/>
          </rPr>
          <t>툴팁과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다름(툴팁의 2배)</t>
        </r>
      </text>
    </comment>
    <comment ref="AB23" authorId="0" shapeId="0" xr:uid="{B63698E5-B386-4D94-A665-D65CBB6DC076}">
      <text>
        <r>
          <rPr>
            <b/>
            <sz val="9"/>
            <color indexed="81"/>
            <rFont val="돋움"/>
            <family val="3"/>
            <charset val="129"/>
          </rPr>
          <t>툴팁과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다름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툴팁의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배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AA25" authorId="0" shapeId="0" xr:uid="{C872B2F0-F813-4DFA-B88C-27DA019329FD}">
      <text>
        <r>
          <rPr>
            <b/>
            <sz val="9"/>
            <color indexed="81"/>
            <rFont val="돋움"/>
            <family val="3"/>
            <charset val="129"/>
          </rPr>
          <t>툴팁과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다름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툴팁의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배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AB25" authorId="0" shapeId="0" xr:uid="{BE958717-BEB4-4A28-B106-C9B3D22185C0}">
      <text>
        <r>
          <rPr>
            <b/>
            <sz val="9"/>
            <color indexed="81"/>
            <rFont val="돋움"/>
            <family val="3"/>
            <charset val="129"/>
          </rPr>
          <t>툴팁과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다름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툴팁의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배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Z30" authorId="0" shapeId="0" xr:uid="{268DAFB8-2AF8-4641-8515-36E10E5DC9DF}">
      <text>
        <r>
          <rPr>
            <b/>
            <sz val="9"/>
            <color indexed="81"/>
            <rFont val="돋움"/>
            <family val="3"/>
            <charset val="129"/>
          </rPr>
          <t>툴팁과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다름(툴팁 100%)</t>
        </r>
      </text>
    </comment>
    <comment ref="P31" authorId="0" shapeId="0" xr:uid="{CEDEF038-7709-4E4D-BED8-D9646A625420}">
      <text>
        <r>
          <rPr>
            <b/>
            <sz val="9"/>
            <color indexed="81"/>
            <rFont val="Tahoma"/>
            <family val="2"/>
          </rPr>
          <t xml:space="preserve">30% </t>
        </r>
        <r>
          <rPr>
            <b/>
            <sz val="9"/>
            <color indexed="81"/>
            <rFont val="돋움"/>
            <family val="3"/>
            <charset val="129"/>
          </rPr>
          <t>확률</t>
        </r>
      </text>
    </comment>
    <comment ref="AK34" authorId="0" shapeId="0" xr:uid="{0CF80E4E-5087-4C45-BFA8-F22F9EA06F42}">
      <text>
        <r>
          <rPr>
            <b/>
            <sz val="9"/>
            <color indexed="81"/>
            <rFont val="돋움"/>
            <family val="3"/>
            <charset val="129"/>
          </rPr>
          <t>홀딩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취소시</t>
        </r>
      </text>
    </comment>
  </commentList>
</comments>
</file>

<file path=xl/sharedStrings.xml><?xml version="1.0" encoding="utf-8"?>
<sst xmlns="http://schemas.openxmlformats.org/spreadsheetml/2006/main" count="151" uniqueCount="91">
  <si>
    <t>-</t>
    <phoneticPr fontId="2" type="noConversion"/>
  </si>
  <si>
    <t>치명</t>
    <phoneticPr fontId="2" type="noConversion"/>
  </si>
  <si>
    <t>트포</t>
    <phoneticPr fontId="2" type="noConversion"/>
  </si>
  <si>
    <t>DPS</t>
    <phoneticPr fontId="2" type="noConversion"/>
  </si>
  <si>
    <t>치명보정</t>
    <phoneticPr fontId="2" type="noConversion"/>
  </si>
  <si>
    <t>치피보정</t>
    <phoneticPr fontId="2" type="noConversion"/>
  </si>
  <si>
    <t>오의: 화룡천상</t>
    <phoneticPr fontId="2" type="noConversion"/>
  </si>
  <si>
    <t>데미지</t>
    <phoneticPr fontId="2" type="noConversion"/>
  </si>
  <si>
    <t>버블 2</t>
    <phoneticPr fontId="2" type="noConversion"/>
  </si>
  <si>
    <t>스킬명</t>
  </si>
  <si>
    <t>쿨타임</t>
  </si>
  <si>
    <t>마나</t>
  </si>
  <si>
    <t>부위파괴</t>
  </si>
  <si>
    <t>무력화</t>
  </si>
  <si>
    <t>백어택</t>
  </si>
  <si>
    <t>슈퍼아머</t>
  </si>
  <si>
    <t>삼연권</t>
  </si>
  <si>
    <t>절단 1</t>
  </si>
  <si>
    <t>가능</t>
  </si>
  <si>
    <t>붕천퇴</t>
  </si>
  <si>
    <t>뇌명각</t>
  </si>
  <si>
    <t>경직</t>
  </si>
  <si>
    <t>섬열란아</t>
  </si>
  <si>
    <t>관통 1</t>
  </si>
  <si>
    <t>중</t>
  </si>
  <si>
    <t>월섬각</t>
  </si>
  <si>
    <t>지뢰진</t>
  </si>
  <si>
    <t>잠룡승천축</t>
  </si>
  <si>
    <t>바람의 속삭임</t>
  </si>
  <si>
    <t>초풍각</t>
  </si>
  <si>
    <t>중상</t>
  </si>
  <si>
    <t>화조강림</t>
  </si>
  <si>
    <t>하</t>
  </si>
  <si>
    <t>용맹의 포효</t>
  </si>
  <si>
    <t>파괴 1</t>
  </si>
  <si>
    <t>방천격</t>
  </si>
  <si>
    <t>내공연소</t>
  </si>
  <si>
    <t>오의: 나선경</t>
  </si>
  <si>
    <t>버블 1</t>
  </si>
  <si>
    <t>관통 2</t>
  </si>
  <si>
    <t>버블 2</t>
  </si>
  <si>
    <t>파괴 2</t>
  </si>
  <si>
    <t>상</t>
  </si>
  <si>
    <t>오의: 뇌진격</t>
  </si>
  <si>
    <t>오의: 풍신초래</t>
  </si>
  <si>
    <t>오의: 폭쇄진</t>
  </si>
  <si>
    <t>극의: 일순난격</t>
  </si>
  <si>
    <t>극의: 무극권</t>
  </si>
  <si>
    <t>데미지1</t>
    <phoneticPr fontId="2" type="noConversion"/>
  </si>
  <si>
    <t>데미지2</t>
    <phoneticPr fontId="2" type="noConversion"/>
  </si>
  <si>
    <t>데미지3</t>
    <phoneticPr fontId="2" type="noConversion"/>
  </si>
  <si>
    <t>데미지4</t>
    <phoneticPr fontId="2" type="noConversion"/>
  </si>
  <si>
    <t>데미지5</t>
    <phoneticPr fontId="2" type="noConversion"/>
  </si>
  <si>
    <t>데미지6</t>
    <phoneticPr fontId="2" type="noConversion"/>
  </si>
  <si>
    <t>계수1</t>
    <phoneticPr fontId="2" type="noConversion"/>
  </si>
  <si>
    <t>계수2</t>
    <phoneticPr fontId="2" type="noConversion"/>
  </si>
  <si>
    <t>계수3</t>
    <phoneticPr fontId="2" type="noConversion"/>
  </si>
  <si>
    <t>계수4</t>
    <phoneticPr fontId="2" type="noConversion"/>
  </si>
  <si>
    <t>계수6</t>
    <phoneticPr fontId="2" type="noConversion"/>
  </si>
  <si>
    <t>계수5</t>
    <phoneticPr fontId="2" type="noConversion"/>
  </si>
  <si>
    <t>피격, 상태</t>
    <phoneticPr fontId="2" type="noConversion"/>
  </si>
  <si>
    <t>계수</t>
    <phoneticPr fontId="2" type="noConversion"/>
  </si>
  <si>
    <t>허수아비 뎀감: 60%</t>
    <phoneticPr fontId="2" type="noConversion"/>
  </si>
  <si>
    <t>공증 효과 그대로 적용됨</t>
    <phoneticPr fontId="2" type="noConversion"/>
  </si>
  <si>
    <t>백어택 추뎀: 20%</t>
    <phoneticPr fontId="2" type="noConversion"/>
  </si>
  <si>
    <t>백어택 추무력: 30%</t>
    <phoneticPr fontId="2" type="noConversion"/>
  </si>
  <si>
    <t>백어택 추치명: 8.5%</t>
    <phoneticPr fontId="2" type="noConversion"/>
  </si>
  <si>
    <t>횟수2</t>
    <phoneticPr fontId="2" type="noConversion"/>
  </si>
  <si>
    <t>횟수3</t>
    <phoneticPr fontId="2" type="noConversion"/>
  </si>
  <si>
    <t>횟수1</t>
    <phoneticPr fontId="2" type="noConversion"/>
  </si>
  <si>
    <t>치피</t>
    <phoneticPr fontId="2" type="noConversion"/>
  </si>
  <si>
    <t>트포1</t>
    <phoneticPr fontId="2" type="noConversion"/>
  </si>
  <si>
    <t>트포2</t>
    <phoneticPr fontId="2" type="noConversion"/>
  </si>
  <si>
    <t>트포3</t>
    <phoneticPr fontId="2" type="noConversion"/>
  </si>
  <si>
    <t>트포4</t>
    <phoneticPr fontId="2" type="noConversion"/>
  </si>
  <si>
    <t>트포5</t>
    <phoneticPr fontId="2" type="noConversion"/>
  </si>
  <si>
    <t>트포6</t>
    <phoneticPr fontId="2" type="noConversion"/>
  </si>
  <si>
    <t>오의: 화룡천상(홀)</t>
    <phoneticPr fontId="2" type="noConversion"/>
  </si>
  <si>
    <t>공격력</t>
    <phoneticPr fontId="2" type="noConversion"/>
  </si>
  <si>
    <t>추가피해</t>
    <phoneticPr fontId="2" type="noConversion"/>
  </si>
  <si>
    <t>DPS(백)</t>
    <phoneticPr fontId="2" type="noConversion"/>
  </si>
  <si>
    <t>치명버프</t>
    <phoneticPr fontId="2" type="noConversion"/>
  </si>
  <si>
    <t>치피버프</t>
    <phoneticPr fontId="2" type="noConversion"/>
  </si>
  <si>
    <t>공격버프</t>
    <phoneticPr fontId="2" type="noConversion"/>
  </si>
  <si>
    <t>피해버프</t>
    <phoneticPr fontId="2" type="noConversion"/>
  </si>
  <si>
    <t>데미지</t>
    <phoneticPr fontId="2" type="noConversion"/>
  </si>
  <si>
    <t>치명</t>
    <phoneticPr fontId="2" type="noConversion"/>
  </si>
  <si>
    <t>피해</t>
    <phoneticPr fontId="2" type="noConversion"/>
  </si>
  <si>
    <t>뎀감</t>
    <phoneticPr fontId="2" type="noConversion"/>
  </si>
  <si>
    <t>오의피해</t>
    <phoneticPr fontId="2" type="noConversion"/>
  </si>
  <si>
    <t>각성피해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</si>
</sst>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76" formatCode="_-* #,##0.00_-;\-* #,##0.00_-;_-* &quot;-&quot;_-;_-@_-"/>
    <numFmt numFmtId="177" formatCode="0.0%"/>
  </numFmts>
  <fonts count="19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2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rgb="FFFF0000"/>
      <name val="맑은 고딕"/>
      <family val="2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0"/>
      <color rgb="FF7030A0"/>
      <name val="맑은 고딕"/>
      <family val="3"/>
      <charset val="129"/>
      <scheme val="minor"/>
    </font>
    <font>
      <b/>
      <sz val="10"/>
      <color rgb="FF0070C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sz val="10"/>
      <color rgb="FF0070C0"/>
      <name val="맑은 고딕"/>
      <family val="2"/>
      <scheme val="minor"/>
    </font>
    <font>
      <sz val="10"/>
      <name val="맑은 고딕"/>
      <family val="2"/>
      <scheme val="minor"/>
    </font>
    <font>
      <b/>
      <sz val="9"/>
      <color indexed="81"/>
      <name val="돋움"/>
      <family val="3"/>
      <charset val="129"/>
    </font>
    <font>
      <sz val="10"/>
      <color rgb="FF0070C0"/>
      <name val="맑은 고딕"/>
      <family val="3"/>
      <charset val="129"/>
      <scheme val="minor"/>
    </font>
    <font>
      <sz val="10"/>
      <color rgb="FF7030A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5">
    <xf numFmtId="0" fontId="0" fillId="0" borderId="0" xfId="0"/>
    <xf numFmtId="0" fontId="3" fillId="0" borderId="0" xfId="0" applyFont="1" applyAlignment="1">
      <alignment horizontal="center"/>
    </xf>
    <xf numFmtId="41" fontId="3" fillId="0" borderId="0" xfId="1" applyFont="1" applyAlignment="1">
      <alignment horizontal="center"/>
    </xf>
    <xf numFmtId="41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9" fontId="3" fillId="0" borderId="0" xfId="2" applyFont="1" applyAlignment="1">
      <alignment horizontal="center"/>
    </xf>
    <xf numFmtId="176" fontId="3" fillId="0" borderId="0" xfId="1" applyNumberFormat="1" applyFont="1" applyAlignment="1">
      <alignment horizontal="center"/>
    </xf>
    <xf numFmtId="0" fontId="15" fillId="0" borderId="0" xfId="1" applyNumberFormat="1" applyFont="1" applyAlignment="1">
      <alignment horizontal="center"/>
    </xf>
    <xf numFmtId="9" fontId="15" fillId="0" borderId="0" xfId="2" applyFont="1" applyAlignment="1">
      <alignment horizontal="center"/>
    </xf>
    <xf numFmtId="9" fontId="5" fillId="0" borderId="0" xfId="2" applyFont="1" applyAlignment="1">
      <alignment horizontal="center"/>
    </xf>
    <xf numFmtId="9" fontId="15" fillId="0" borderId="1" xfId="2" applyFont="1" applyBorder="1" applyAlignment="1">
      <alignment horizontal="center"/>
    </xf>
    <xf numFmtId="176" fontId="3" fillId="0" borderId="1" xfId="1" applyNumberFormat="1" applyFont="1" applyBorder="1" applyAlignment="1">
      <alignment horizontal="center"/>
    </xf>
    <xf numFmtId="0" fontId="15" fillId="0" borderId="1" xfId="1" applyNumberFormat="1" applyFont="1" applyBorder="1" applyAlignment="1">
      <alignment horizontal="center"/>
    </xf>
    <xf numFmtId="9" fontId="5" fillId="0" borderId="1" xfId="2" applyFont="1" applyBorder="1" applyAlignment="1">
      <alignment horizontal="center"/>
    </xf>
    <xf numFmtId="41" fontId="9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6" fontId="8" fillId="0" borderId="1" xfId="1" applyNumberFormat="1" applyFont="1" applyBorder="1" applyAlignment="1">
      <alignment horizontal="center"/>
    </xf>
    <xf numFmtId="0" fontId="5" fillId="0" borderId="1" xfId="1" applyNumberFormat="1" applyFont="1" applyBorder="1" applyAlignment="1">
      <alignment horizontal="center"/>
    </xf>
    <xf numFmtId="41" fontId="12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76" fontId="14" fillId="0" borderId="1" xfId="1" applyNumberFormat="1" applyFont="1" applyBorder="1" applyAlignment="1">
      <alignment horizontal="center"/>
    </xf>
    <xf numFmtId="43" fontId="5" fillId="0" borderId="1" xfId="1" applyNumberFormat="1" applyFont="1" applyBorder="1" applyAlignment="1">
      <alignment horizontal="center"/>
    </xf>
    <xf numFmtId="43" fontId="8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1" fontId="11" fillId="0" borderId="2" xfId="1" applyFont="1" applyBorder="1" applyAlignment="1">
      <alignment horizontal="center"/>
    </xf>
    <xf numFmtId="9" fontId="5" fillId="0" borderId="2" xfId="2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1" fontId="12" fillId="0" borderId="11" xfId="1" applyFont="1" applyBorder="1" applyAlignment="1">
      <alignment horizontal="center"/>
    </xf>
    <xf numFmtId="9" fontId="5" fillId="0" borderId="11" xfId="2" applyFont="1" applyBorder="1" applyAlignment="1">
      <alignment horizontal="center"/>
    </xf>
    <xf numFmtId="41" fontId="9" fillId="0" borderId="2" xfId="1" applyFont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41" fontId="6" fillId="5" borderId="14" xfId="1" applyFont="1" applyFill="1" applyBorder="1" applyAlignment="1">
      <alignment horizontal="center"/>
    </xf>
    <xf numFmtId="9" fontId="7" fillId="5" borderId="14" xfId="2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176" fontId="3" fillId="0" borderId="14" xfId="1" applyNumberFormat="1" applyFont="1" applyBorder="1" applyAlignment="1">
      <alignment horizontal="center"/>
    </xf>
    <xf numFmtId="0" fontId="15" fillId="0" borderId="14" xfId="1" applyNumberFormat="1" applyFont="1" applyBorder="1" applyAlignment="1">
      <alignment horizontal="center"/>
    </xf>
    <xf numFmtId="9" fontId="15" fillId="0" borderId="14" xfId="2" applyFont="1" applyBorder="1" applyAlignment="1">
      <alignment horizontal="center"/>
    </xf>
    <xf numFmtId="9" fontId="5" fillId="0" borderId="14" xfId="2" applyFont="1" applyBorder="1" applyAlignment="1">
      <alignment horizontal="center"/>
    </xf>
    <xf numFmtId="9" fontId="15" fillId="0" borderId="15" xfId="2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9" fontId="5" fillId="0" borderId="6" xfId="2" applyFont="1" applyBorder="1" applyAlignment="1">
      <alignment horizontal="center"/>
    </xf>
    <xf numFmtId="9" fontId="15" fillId="0" borderId="6" xfId="2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1" fontId="9" fillId="0" borderId="8" xfId="1" applyFont="1" applyBorder="1" applyAlignment="1">
      <alignment horizontal="center"/>
    </xf>
    <xf numFmtId="9" fontId="5" fillId="0" borderId="8" xfId="2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76" fontId="8" fillId="0" borderId="8" xfId="1" applyNumberFormat="1" applyFont="1" applyBorder="1" applyAlignment="1">
      <alignment horizontal="center"/>
    </xf>
    <xf numFmtId="0" fontId="5" fillId="0" borderId="8" xfId="1" applyNumberFormat="1" applyFont="1" applyBorder="1" applyAlignment="1">
      <alignment horizontal="center"/>
    </xf>
    <xf numFmtId="176" fontId="3" fillId="0" borderId="8" xfId="1" applyNumberFormat="1" applyFont="1" applyBorder="1" applyAlignment="1">
      <alignment horizontal="center"/>
    </xf>
    <xf numFmtId="0" fontId="15" fillId="0" borderId="8" xfId="1" applyNumberFormat="1" applyFont="1" applyBorder="1" applyAlignment="1">
      <alignment horizontal="center"/>
    </xf>
    <xf numFmtId="9" fontId="15" fillId="0" borderId="8" xfId="2" applyFont="1" applyBorder="1" applyAlignment="1">
      <alignment horizontal="center"/>
    </xf>
    <xf numFmtId="9" fontId="15" fillId="0" borderId="9" xfId="2" applyFont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9" fontId="7" fillId="4" borderId="8" xfId="2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41" fontId="10" fillId="0" borderId="1" xfId="1" applyFont="1" applyBorder="1" applyAlignment="1">
      <alignment horizontal="center"/>
    </xf>
    <xf numFmtId="41" fontId="17" fillId="0" borderId="1" xfId="1" applyFont="1" applyBorder="1" applyAlignment="1">
      <alignment horizontal="center"/>
    </xf>
    <xf numFmtId="41" fontId="17" fillId="0" borderId="11" xfId="1" applyFont="1" applyBorder="1" applyAlignment="1">
      <alignment horizontal="center"/>
    </xf>
    <xf numFmtId="41" fontId="10" fillId="0" borderId="2" xfId="1" applyFont="1" applyBorder="1" applyAlignment="1">
      <alignment horizontal="center"/>
    </xf>
    <xf numFmtId="41" fontId="18" fillId="0" borderId="2" xfId="1" applyFont="1" applyBorder="1" applyAlignment="1">
      <alignment horizontal="center"/>
    </xf>
    <xf numFmtId="41" fontId="10" fillId="0" borderId="8" xfId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176" fontId="6" fillId="5" borderId="15" xfId="1" applyNumberFormat="1" applyFont="1" applyFill="1" applyBorder="1" applyAlignment="1">
      <alignment horizontal="center"/>
    </xf>
    <xf numFmtId="176" fontId="10" fillId="0" borderId="6" xfId="1" applyNumberFormat="1" applyFont="1" applyBorder="1" applyAlignment="1">
      <alignment horizontal="center"/>
    </xf>
    <xf numFmtId="176" fontId="17" fillId="0" borderId="6" xfId="1" applyNumberFormat="1" applyFont="1" applyBorder="1" applyAlignment="1">
      <alignment horizontal="center"/>
    </xf>
    <xf numFmtId="176" fontId="17" fillId="0" borderId="12" xfId="1" applyNumberFormat="1" applyFont="1" applyBorder="1" applyAlignment="1">
      <alignment horizontal="center"/>
    </xf>
    <xf numFmtId="176" fontId="10" fillId="0" borderId="4" xfId="1" applyNumberFormat="1" applyFont="1" applyBorder="1" applyAlignment="1">
      <alignment horizontal="center"/>
    </xf>
    <xf numFmtId="176" fontId="18" fillId="0" borderId="4" xfId="1" applyNumberFormat="1" applyFont="1" applyBorder="1" applyAlignment="1">
      <alignment horizontal="center"/>
    </xf>
    <xf numFmtId="176" fontId="10" fillId="0" borderId="9" xfId="1" applyNumberFormat="1" applyFont="1" applyBorder="1" applyAlignment="1">
      <alignment horizontal="center"/>
    </xf>
    <xf numFmtId="177" fontId="3" fillId="0" borderId="0" xfId="2" applyNumberFormat="1" applyFont="1" applyAlignment="1">
      <alignment horizontal="center"/>
    </xf>
    <xf numFmtId="177" fontId="3" fillId="0" borderId="1" xfId="2" applyNumberFormat="1" applyFont="1" applyBorder="1" applyAlignment="1">
      <alignment horizontal="center"/>
    </xf>
    <xf numFmtId="177" fontId="3" fillId="0" borderId="19" xfId="2" applyNumberFormat="1" applyFont="1" applyBorder="1" applyAlignment="1">
      <alignment horizontal="center"/>
    </xf>
    <xf numFmtId="9" fontId="6" fillId="4" borderId="13" xfId="2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9" fontId="7" fillId="4" borderId="14" xfId="2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9" fontId="6" fillId="3" borderId="21" xfId="2" applyFont="1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 applyProtection="1">
      <alignment horizontal="center"/>
      <protection locked="0"/>
    </xf>
    <xf numFmtId="9" fontId="6" fillId="3" borderId="8" xfId="2" applyFont="1" applyFill="1" applyBorder="1" applyAlignment="1" applyProtection="1">
      <alignment horizontal="center"/>
      <protection locked="0"/>
    </xf>
    <xf numFmtId="177" fontId="6" fillId="3" borderId="14" xfId="2" applyNumberFormat="1" applyFont="1" applyFill="1" applyBorder="1" applyAlignment="1" applyProtection="1">
      <alignment horizontal="center"/>
      <protection locked="0"/>
    </xf>
    <xf numFmtId="9" fontId="6" fillId="3" borderId="14" xfId="2" applyFont="1" applyFill="1" applyBorder="1" applyAlignment="1" applyProtection="1">
      <alignment horizontal="center"/>
      <protection locked="0"/>
    </xf>
    <xf numFmtId="9" fontId="7" fillId="3" borderId="8" xfId="2" applyFont="1" applyFill="1" applyBorder="1" applyAlignment="1" applyProtection="1">
      <alignment horizontal="center"/>
      <protection locked="0"/>
    </xf>
    <xf numFmtId="177" fontId="6" fillId="3" borderId="15" xfId="2" applyNumberFormat="1" applyFont="1" applyFill="1" applyBorder="1" applyAlignment="1" applyProtection="1">
      <alignment horizontal="center"/>
      <protection locked="0"/>
    </xf>
    <xf numFmtId="177" fontId="6" fillId="3" borderId="9" xfId="2" applyNumberFormat="1" applyFont="1" applyFill="1" applyBorder="1" applyAlignment="1" applyProtection="1">
      <alignment horizontal="center"/>
      <protection locked="0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654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484A6-E104-4AEA-AF91-0AF71CCE3901}">
  <sheetPr>
    <tabColor rgb="FF7030A0"/>
  </sheetPr>
  <dimension ref="B1:AM41"/>
  <sheetViews>
    <sheetView showGridLines="0" showRowColHeaders="0" tabSelected="1" workbookViewId="0">
      <pane xSplit="5" ySplit="5" topLeftCell="F6" activePane="bottomRight" state="frozen"/>
      <selection activeCell="H16" sqref="H16"/>
      <selection pane="topRight" activeCell="H16" sqref="H16"/>
      <selection pane="bottomLeft" activeCell="H16" sqref="H16"/>
      <selection pane="bottomRight" activeCell="N22" sqref="N22"/>
    </sheetView>
  </sheetViews>
  <sheetFormatPr defaultRowHeight="15.95" customHeight="1" x14ac:dyDescent="0.25"/>
  <cols>
    <col min="1" max="1" width="1.625" style="1" customWidth="1"/>
    <col min="2" max="2" width="8.625" style="2" hidden="1" customWidth="1"/>
    <col min="3" max="4" width="8.625" style="80" hidden="1" customWidth="1"/>
    <col min="5" max="5" width="15.375" style="1" bestFit="1" customWidth="1"/>
    <col min="6" max="7" width="6.625" style="1" customWidth="1"/>
    <col min="8" max="9" width="8.625" style="2" customWidth="1"/>
    <col min="10" max="14" width="8.625" style="1" customWidth="1"/>
    <col min="15" max="16" width="8.625" style="8" customWidth="1"/>
    <col min="17" max="17" width="8.625" style="2" customWidth="1"/>
    <col min="18" max="18" width="8.625" style="6" customWidth="1"/>
    <col min="19" max="19" width="6.625" style="1" hidden="1" customWidth="1"/>
    <col min="20" max="20" width="6.625" style="6" hidden="1" customWidth="1"/>
    <col min="21" max="21" width="6.625" style="7" hidden="1" customWidth="1"/>
    <col min="22" max="22" width="6.625" style="8" hidden="1" customWidth="1"/>
    <col min="23" max="23" width="6.625" style="1" hidden="1" customWidth="1"/>
    <col min="24" max="24" width="6.625" style="6" hidden="1" customWidth="1"/>
    <col min="25" max="25" width="6.625" style="7" hidden="1" customWidth="1"/>
    <col min="26" max="26" width="6.625" style="8" hidden="1" customWidth="1"/>
    <col min="27" max="27" width="6.625" style="1" hidden="1" customWidth="1"/>
    <col min="28" max="28" width="6.625" style="6" hidden="1" customWidth="1"/>
    <col min="29" max="29" width="6.625" style="7" hidden="1" customWidth="1"/>
    <col min="30" max="30" width="6.625" style="8" hidden="1" customWidth="1"/>
    <col min="31" max="31" width="6.625" style="1" hidden="1" customWidth="1"/>
    <col min="32" max="32" width="6.625" style="6" hidden="1" customWidth="1"/>
    <col min="33" max="33" width="6.625" style="8" hidden="1" customWidth="1"/>
    <col min="34" max="34" width="6.625" style="1" hidden="1" customWidth="1"/>
    <col min="35" max="35" width="6.625" style="6" hidden="1" customWidth="1"/>
    <col min="36" max="36" width="6.625" style="9" hidden="1" customWidth="1"/>
    <col min="37" max="37" width="6.625" style="1" hidden="1" customWidth="1"/>
    <col min="38" max="38" width="6.625" style="6" hidden="1" customWidth="1"/>
    <col min="39" max="39" width="6.625" style="8" hidden="1" customWidth="1"/>
    <col min="40" max="16384" width="9" style="1"/>
  </cols>
  <sheetData>
    <row r="1" spans="2:39" ht="9.9499999999999993" customHeight="1" thickBot="1" x14ac:dyDescent="0.3"/>
    <row r="2" spans="2:39" ht="15.95" customHeight="1" x14ac:dyDescent="0.25">
      <c r="F2" s="86" t="s">
        <v>88</v>
      </c>
      <c r="H2" s="83" t="s">
        <v>78</v>
      </c>
      <c r="I2" s="88">
        <v>2000</v>
      </c>
      <c r="J2" s="60" t="s">
        <v>1</v>
      </c>
      <c r="K2" s="90">
        <v>0.2</v>
      </c>
      <c r="L2" s="60" t="s">
        <v>70</v>
      </c>
      <c r="M2" s="91">
        <v>2</v>
      </c>
      <c r="N2" s="60" t="s">
        <v>79</v>
      </c>
      <c r="O2" s="91">
        <v>0</v>
      </c>
      <c r="P2" s="85" t="s">
        <v>89</v>
      </c>
      <c r="Q2" s="93">
        <v>0</v>
      </c>
    </row>
    <row r="3" spans="2:39" ht="15.95" customHeight="1" thickBot="1" x14ac:dyDescent="0.3">
      <c r="F3" s="87">
        <v>0.6</v>
      </c>
      <c r="H3" s="84" t="s">
        <v>83</v>
      </c>
      <c r="I3" s="89">
        <v>0</v>
      </c>
      <c r="J3" s="62" t="s">
        <v>81</v>
      </c>
      <c r="K3" s="89">
        <v>0</v>
      </c>
      <c r="L3" s="62" t="s">
        <v>82</v>
      </c>
      <c r="M3" s="92">
        <v>0</v>
      </c>
      <c r="N3" s="61" t="s">
        <v>84</v>
      </c>
      <c r="O3" s="89">
        <v>0</v>
      </c>
      <c r="P3" s="61" t="s">
        <v>90</v>
      </c>
      <c r="Q3" s="94">
        <v>0</v>
      </c>
    </row>
    <row r="4" spans="2:39" ht="9.9499999999999993" customHeight="1" thickBot="1" x14ac:dyDescent="0.3">
      <c r="E4" s="5"/>
    </row>
    <row r="5" spans="2:39" ht="15.95" customHeight="1" x14ac:dyDescent="0.25">
      <c r="B5" s="3" t="s">
        <v>85</v>
      </c>
      <c r="C5" s="81" t="s">
        <v>86</v>
      </c>
      <c r="D5" s="82" t="s">
        <v>87</v>
      </c>
      <c r="E5" s="33" t="s">
        <v>9</v>
      </c>
      <c r="F5" s="34" t="s">
        <v>2</v>
      </c>
      <c r="G5" s="34" t="s">
        <v>10</v>
      </c>
      <c r="H5" s="35" t="s">
        <v>3</v>
      </c>
      <c r="I5" s="35" t="s">
        <v>80</v>
      </c>
      <c r="J5" s="34" t="s">
        <v>11</v>
      </c>
      <c r="K5" s="34" t="s">
        <v>12</v>
      </c>
      <c r="L5" s="34" t="s">
        <v>13</v>
      </c>
      <c r="M5" s="34" t="s">
        <v>14</v>
      </c>
      <c r="N5" s="34" t="s">
        <v>15</v>
      </c>
      <c r="O5" s="36" t="s">
        <v>4</v>
      </c>
      <c r="P5" s="36" t="s">
        <v>5</v>
      </c>
      <c r="Q5" s="35" t="s">
        <v>7</v>
      </c>
      <c r="R5" s="73" t="s">
        <v>61</v>
      </c>
      <c r="S5" s="69" t="s">
        <v>48</v>
      </c>
      <c r="T5" s="38" t="s">
        <v>54</v>
      </c>
      <c r="U5" s="39" t="s">
        <v>69</v>
      </c>
      <c r="V5" s="40" t="s">
        <v>71</v>
      </c>
      <c r="W5" s="37" t="s">
        <v>49</v>
      </c>
      <c r="X5" s="38" t="s">
        <v>55</v>
      </c>
      <c r="Y5" s="39" t="s">
        <v>67</v>
      </c>
      <c r="Z5" s="40" t="s">
        <v>72</v>
      </c>
      <c r="AA5" s="37" t="s">
        <v>50</v>
      </c>
      <c r="AB5" s="38" t="s">
        <v>56</v>
      </c>
      <c r="AC5" s="39" t="s">
        <v>68</v>
      </c>
      <c r="AD5" s="40" t="s">
        <v>73</v>
      </c>
      <c r="AE5" s="37" t="s">
        <v>51</v>
      </c>
      <c r="AF5" s="38" t="s">
        <v>57</v>
      </c>
      <c r="AG5" s="40" t="s">
        <v>74</v>
      </c>
      <c r="AH5" s="37" t="s">
        <v>52</v>
      </c>
      <c r="AI5" s="38" t="s">
        <v>59</v>
      </c>
      <c r="AJ5" s="41" t="s">
        <v>75</v>
      </c>
      <c r="AK5" s="37" t="s">
        <v>53</v>
      </c>
      <c r="AL5" s="38" t="s">
        <v>58</v>
      </c>
      <c r="AM5" s="42" t="s">
        <v>76</v>
      </c>
    </row>
    <row r="6" spans="2:39" ht="15.95" customHeight="1" x14ac:dyDescent="0.25">
      <c r="B6" s="3">
        <f t="shared" ref="B6:B35" si="0">$Q6+$I$2*(1+$I$3)*$R6</f>
        <v>15473.477354999999</v>
      </c>
      <c r="C6" s="81">
        <f t="shared" ref="C6:C35" si="1">IF($K$2+$K$3+$O6&gt;=1,1,$K$2+$K$3+$O6)*($M$2+$M$3+$P6)+(1-IF($K$2+$K$3+$O6&gt;=1,1,$K$2+$K$3+$O6))</f>
        <v>1.2000000000000002</v>
      </c>
      <c r="D6" s="82">
        <f t="shared" ref="D6:D25" si="2">(1+$O$2)*(1+$O$3)*(1-$F$3)</f>
        <v>0.4</v>
      </c>
      <c r="E6" s="43" t="s">
        <v>16</v>
      </c>
      <c r="F6" s="23">
        <v>321</v>
      </c>
      <c r="G6" s="4">
        <v>6</v>
      </c>
      <c r="H6" s="14">
        <f>$B6*$C6*$D6/$G6</f>
        <v>1237.8781884000002</v>
      </c>
      <c r="I6" s="14">
        <f>$H6*IF($M6="가능",1.2,1)</f>
        <v>1485.4538260800002</v>
      </c>
      <c r="J6" s="4">
        <v>235</v>
      </c>
      <c r="K6" s="4" t="s">
        <v>17</v>
      </c>
      <c r="L6" s="4"/>
      <c r="M6" s="4" t="s">
        <v>18</v>
      </c>
      <c r="N6" s="4"/>
      <c r="O6" s="13">
        <v>0</v>
      </c>
      <c r="P6" s="13">
        <v>0</v>
      </c>
      <c r="Q6" s="63">
        <f>SUM($S6*$U6*$V6,$W6*$Y6*$Z6,$AA6*$AC6*$AD6,$AE6*$AG6,$AH6*$AJ6,$AK6*$AM6)</f>
        <v>1317.9172499999997</v>
      </c>
      <c r="R6" s="74">
        <f>SUM($T6*$U6*$V6,$X6*$Y6*$Z6,$AB6*$AC6*$AD6,$AF6*$AG6,$AI6*$AJ6,$AL6*$AM6)</f>
        <v>7.0777800524999996</v>
      </c>
      <c r="S6" s="70">
        <v>142</v>
      </c>
      <c r="T6" s="16">
        <v>0.75443000000000005</v>
      </c>
      <c r="U6" s="17">
        <v>1</v>
      </c>
      <c r="V6" s="13">
        <f>1.15*1.15</f>
        <v>1.3224999999999998</v>
      </c>
      <c r="W6" s="15">
        <f>142</f>
        <v>142</v>
      </c>
      <c r="X6" s="16">
        <f>0.75443</f>
        <v>0.75443000000000005</v>
      </c>
      <c r="Y6" s="17">
        <v>1.4</v>
      </c>
      <c r="Z6" s="13">
        <f>1.15*1.3</f>
        <v>1.4949999999999999</v>
      </c>
      <c r="AA6" s="15">
        <v>333</v>
      </c>
      <c r="AB6" s="16">
        <v>1.7995099999999999</v>
      </c>
      <c r="AC6" s="17">
        <v>1</v>
      </c>
      <c r="AD6" s="13">
        <f>1.15*1.45*1.5</f>
        <v>2.5012499999999998</v>
      </c>
      <c r="AE6" s="15"/>
      <c r="AF6" s="16"/>
      <c r="AG6" s="13"/>
      <c r="AH6" s="15"/>
      <c r="AI6" s="16"/>
      <c r="AJ6" s="13"/>
      <c r="AK6" s="15"/>
      <c r="AL6" s="16"/>
      <c r="AM6" s="44"/>
    </row>
    <row r="7" spans="2:39" ht="15.95" customHeight="1" x14ac:dyDescent="0.25">
      <c r="B7" s="3">
        <f t="shared" si="0"/>
        <v>20775.318674999999</v>
      </c>
      <c r="C7" s="81">
        <f t="shared" si="1"/>
        <v>1.2000000000000002</v>
      </c>
      <c r="D7" s="82">
        <f t="shared" si="2"/>
        <v>0.4</v>
      </c>
      <c r="E7" s="43" t="s">
        <v>16</v>
      </c>
      <c r="F7" s="23">
        <v>322</v>
      </c>
      <c r="G7" s="4">
        <v>6</v>
      </c>
      <c r="H7" s="14">
        <f t="shared" ref="H7:H35" si="3">$B7*$C7*$D7/$G7</f>
        <v>1662.0254940000002</v>
      </c>
      <c r="I7" s="14">
        <f t="shared" ref="I7:I35" si="4">$H7*IF($M7="가능",1.2,1)</f>
        <v>1994.4305928000001</v>
      </c>
      <c r="J7" s="4">
        <v>235</v>
      </c>
      <c r="K7" s="4" t="s">
        <v>17</v>
      </c>
      <c r="L7" s="4"/>
      <c r="M7" s="4" t="s">
        <v>18</v>
      </c>
      <c r="N7" s="4"/>
      <c r="O7" s="13">
        <v>0</v>
      </c>
      <c r="P7" s="13">
        <v>0</v>
      </c>
      <c r="Q7" s="63">
        <f t="shared" ref="Q7:Q35" si="5">SUM($S7*$U7*$V7,$W7*$Y7*$Z7,$AA7*$AC7*$AD7,$AE7*$AG7,$AH7*$AJ7,$AK7*$AM7)</f>
        <v>1771.5749999999998</v>
      </c>
      <c r="R7" s="74">
        <f t="shared" ref="R7:R35" si="6">SUM($T7*$U7*$V7,$X7*$Y7*$Z7,$AB7*$AC7*$AD7,$AF7*$AG7,$AI7*$AJ7,$AL7*$AM7)</f>
        <v>9.5018718374999995</v>
      </c>
      <c r="S7" s="70">
        <v>87</v>
      </c>
      <c r="T7" s="16">
        <v>0.46801999999999999</v>
      </c>
      <c r="U7" s="17">
        <v>1</v>
      </c>
      <c r="V7" s="13">
        <f>1.15*1.5*1.15</f>
        <v>1.9837499999999997</v>
      </c>
      <c r="W7" s="15">
        <v>102</v>
      </c>
      <c r="X7" s="16">
        <v>0.54651000000000005</v>
      </c>
      <c r="Y7" s="17">
        <v>1</v>
      </c>
      <c r="Z7" s="13">
        <f>1.15*1.5*1.3</f>
        <v>2.2424999999999997</v>
      </c>
      <c r="AA7" s="15">
        <v>113</v>
      </c>
      <c r="AB7" s="16">
        <v>0.60660999999999998</v>
      </c>
      <c r="AC7" s="17">
        <v>1</v>
      </c>
      <c r="AD7" s="13">
        <f>1.15*1.5*1.45</f>
        <v>2.5012499999999998</v>
      </c>
      <c r="AE7" s="15">
        <v>125</v>
      </c>
      <c r="AF7" s="16">
        <v>0.67125999999999997</v>
      </c>
      <c r="AG7" s="13">
        <f>1.15*1.5*1.6</f>
        <v>2.76</v>
      </c>
      <c r="AH7" s="15">
        <v>246</v>
      </c>
      <c r="AI7" s="16">
        <v>1.3177399999999999</v>
      </c>
      <c r="AJ7" s="13">
        <f>1.15*1.5*1.75</f>
        <v>3.0187499999999998</v>
      </c>
      <c r="AK7" s="15"/>
      <c r="AL7" s="16"/>
      <c r="AM7" s="44"/>
    </row>
    <row r="8" spans="2:39" ht="15.95" customHeight="1" x14ac:dyDescent="0.25">
      <c r="B8" s="3">
        <f t="shared" si="0"/>
        <v>9631.4360000000015</v>
      </c>
      <c r="C8" s="81">
        <f t="shared" si="1"/>
        <v>1.2000000000000002</v>
      </c>
      <c r="D8" s="82">
        <f t="shared" si="2"/>
        <v>0.4</v>
      </c>
      <c r="E8" s="43" t="s">
        <v>19</v>
      </c>
      <c r="F8" s="23">
        <v>131</v>
      </c>
      <c r="G8" s="4">
        <v>8</v>
      </c>
      <c r="H8" s="14">
        <f t="shared" si="3"/>
        <v>577.88616000000025</v>
      </c>
      <c r="I8" s="14">
        <f t="shared" si="4"/>
        <v>693.46339200000023</v>
      </c>
      <c r="J8" s="4">
        <v>277</v>
      </c>
      <c r="K8" s="4"/>
      <c r="L8" s="4"/>
      <c r="M8" s="4" t="s">
        <v>18</v>
      </c>
      <c r="N8" s="4"/>
      <c r="O8" s="13">
        <v>0</v>
      </c>
      <c r="P8" s="13">
        <v>0</v>
      </c>
      <c r="Q8" s="63">
        <f t="shared" si="5"/>
        <v>812.2</v>
      </c>
      <c r="R8" s="74">
        <f t="shared" si="6"/>
        <v>4.409618</v>
      </c>
      <c r="S8" s="70">
        <v>226</v>
      </c>
      <c r="T8" s="16">
        <v>1.23014</v>
      </c>
      <c r="U8" s="17">
        <v>1</v>
      </c>
      <c r="V8" s="13">
        <v>2.2000000000000002</v>
      </c>
      <c r="W8" s="15">
        <v>315</v>
      </c>
      <c r="X8" s="16">
        <v>1.7033100000000001</v>
      </c>
      <c r="Y8" s="17">
        <v>1</v>
      </c>
      <c r="Z8" s="13">
        <v>1</v>
      </c>
      <c r="AA8" s="15"/>
      <c r="AB8" s="16"/>
      <c r="AC8" s="17"/>
      <c r="AD8" s="13"/>
      <c r="AE8" s="15"/>
      <c r="AF8" s="16"/>
      <c r="AG8" s="13"/>
      <c r="AH8" s="15"/>
      <c r="AI8" s="16"/>
      <c r="AJ8" s="13"/>
      <c r="AK8" s="15"/>
      <c r="AL8" s="16"/>
      <c r="AM8" s="44"/>
    </row>
    <row r="9" spans="2:39" ht="15.95" customHeight="1" x14ac:dyDescent="0.25">
      <c r="B9" s="3">
        <f t="shared" si="0"/>
        <v>17464.026000000002</v>
      </c>
      <c r="C9" s="81">
        <f t="shared" si="1"/>
        <v>1.2000000000000002</v>
      </c>
      <c r="D9" s="82">
        <f t="shared" si="2"/>
        <v>0.4</v>
      </c>
      <c r="E9" s="43" t="s">
        <v>20</v>
      </c>
      <c r="F9" s="23">
        <v>111</v>
      </c>
      <c r="G9" s="4">
        <v>7</v>
      </c>
      <c r="H9" s="14">
        <f t="shared" si="3"/>
        <v>1197.5332114285718</v>
      </c>
      <c r="I9" s="14">
        <f t="shared" si="4"/>
        <v>1437.0398537142862</v>
      </c>
      <c r="J9" s="4">
        <v>256</v>
      </c>
      <c r="K9" s="4"/>
      <c r="L9" s="4"/>
      <c r="M9" s="4" t="s">
        <v>18</v>
      </c>
      <c r="N9" s="4" t="s">
        <v>21</v>
      </c>
      <c r="O9" s="13">
        <v>0</v>
      </c>
      <c r="P9" s="13">
        <v>0</v>
      </c>
      <c r="Q9" s="63">
        <f t="shared" si="5"/>
        <v>1480.5</v>
      </c>
      <c r="R9" s="74">
        <f t="shared" si="6"/>
        <v>7.9917630000000006</v>
      </c>
      <c r="S9" s="70">
        <v>114</v>
      </c>
      <c r="T9" s="16">
        <v>0.59813000000000005</v>
      </c>
      <c r="U9" s="17">
        <v>3</v>
      </c>
      <c r="V9" s="13">
        <v>1</v>
      </c>
      <c r="W9" s="15">
        <v>495</v>
      </c>
      <c r="X9" s="16">
        <v>2.6945100000000002</v>
      </c>
      <c r="Y9" s="17">
        <v>1</v>
      </c>
      <c r="Z9" s="13">
        <v>1</v>
      </c>
      <c r="AA9" s="15">
        <v>495</v>
      </c>
      <c r="AB9" s="16">
        <v>2.6945100000000002</v>
      </c>
      <c r="AC9" s="17">
        <v>1</v>
      </c>
      <c r="AD9" s="13">
        <v>1.3</v>
      </c>
      <c r="AE9" s="15"/>
      <c r="AF9" s="16"/>
      <c r="AG9" s="13"/>
      <c r="AH9" s="15"/>
      <c r="AI9" s="16"/>
      <c r="AJ9" s="13"/>
      <c r="AK9" s="15">
        <v>136</v>
      </c>
      <c r="AL9" s="16">
        <v>0.67571000000000003</v>
      </c>
      <c r="AM9" s="44">
        <v>0</v>
      </c>
    </row>
    <row r="10" spans="2:39" ht="15.95" customHeight="1" x14ac:dyDescent="0.25">
      <c r="B10" s="3">
        <f t="shared" si="0"/>
        <v>14673.126000000002</v>
      </c>
      <c r="C10" s="81">
        <f t="shared" si="1"/>
        <v>1.2000000000000002</v>
      </c>
      <c r="D10" s="82">
        <f t="shared" si="2"/>
        <v>0.4</v>
      </c>
      <c r="E10" s="43" t="s">
        <v>20</v>
      </c>
      <c r="F10" s="23">
        <v>112</v>
      </c>
      <c r="G10" s="4">
        <v>7</v>
      </c>
      <c r="H10" s="14">
        <f t="shared" si="3"/>
        <v>1006.1572114285718</v>
      </c>
      <c r="I10" s="14">
        <f t="shared" si="4"/>
        <v>1207.3886537142862</v>
      </c>
      <c r="J10" s="4">
        <v>256</v>
      </c>
      <c r="K10" s="4"/>
      <c r="L10" s="4"/>
      <c r="M10" s="4" t="s">
        <v>18</v>
      </c>
      <c r="N10" s="4" t="s">
        <v>21</v>
      </c>
      <c r="O10" s="13">
        <v>0</v>
      </c>
      <c r="P10" s="13">
        <v>0</v>
      </c>
      <c r="Q10" s="63">
        <f t="shared" si="5"/>
        <v>1251.3150000000001</v>
      </c>
      <c r="R10" s="74">
        <f t="shared" si="6"/>
        <v>6.7109055000000009</v>
      </c>
      <c r="S10" s="70">
        <v>114</v>
      </c>
      <c r="T10" s="16">
        <v>0.59813000000000005</v>
      </c>
      <c r="U10" s="17">
        <v>3</v>
      </c>
      <c r="V10" s="13">
        <f>1.15*1.3</f>
        <v>1.4949999999999999</v>
      </c>
      <c r="W10" s="15">
        <v>495</v>
      </c>
      <c r="X10" s="16">
        <v>2.6945100000000002</v>
      </c>
      <c r="Y10" s="17">
        <v>1</v>
      </c>
      <c r="Z10" s="13">
        <f>1.15*1.3</f>
        <v>1.4949999999999999</v>
      </c>
      <c r="AA10" s="15"/>
      <c r="AB10" s="16"/>
      <c r="AC10" s="17"/>
      <c r="AD10" s="13"/>
      <c r="AE10" s="15"/>
      <c r="AF10" s="16"/>
      <c r="AG10" s="13"/>
      <c r="AH10" s="15"/>
      <c r="AI10" s="16"/>
      <c r="AJ10" s="13"/>
      <c r="AK10" s="15">
        <v>136</v>
      </c>
      <c r="AL10" s="16">
        <v>0.67571000000000003</v>
      </c>
      <c r="AM10" s="44">
        <v>0</v>
      </c>
    </row>
    <row r="11" spans="2:39" ht="15.95" customHeight="1" x14ac:dyDescent="0.25">
      <c r="B11" s="3">
        <f t="shared" si="0"/>
        <v>28722.000000000004</v>
      </c>
      <c r="C11" s="81">
        <f t="shared" si="1"/>
        <v>1.65</v>
      </c>
      <c r="D11" s="82">
        <f t="shared" si="2"/>
        <v>0.4</v>
      </c>
      <c r="E11" s="43" t="s">
        <v>22</v>
      </c>
      <c r="F11" s="23">
        <v>231</v>
      </c>
      <c r="G11" s="4">
        <v>14</v>
      </c>
      <c r="H11" s="14">
        <f t="shared" si="3"/>
        <v>1354.037142857143</v>
      </c>
      <c r="I11" s="14">
        <f t="shared" si="4"/>
        <v>1624.8445714285715</v>
      </c>
      <c r="J11" s="4">
        <v>382</v>
      </c>
      <c r="K11" s="4" t="s">
        <v>23</v>
      </c>
      <c r="L11" s="4" t="s">
        <v>24</v>
      </c>
      <c r="M11" s="4" t="s">
        <v>18</v>
      </c>
      <c r="N11" s="4"/>
      <c r="O11" s="13">
        <v>0.45</v>
      </c>
      <c r="P11" s="13">
        <v>0</v>
      </c>
      <c r="Q11" s="63">
        <f t="shared" si="5"/>
        <v>2430.4</v>
      </c>
      <c r="R11" s="74">
        <f t="shared" si="6"/>
        <v>13.145800000000001</v>
      </c>
      <c r="S11" s="70">
        <v>190</v>
      </c>
      <c r="T11" s="16">
        <v>1.0273600000000001</v>
      </c>
      <c r="U11" s="17">
        <v>4</v>
      </c>
      <c r="V11" s="13">
        <v>1.6</v>
      </c>
      <c r="W11" s="15">
        <v>506</v>
      </c>
      <c r="X11" s="16">
        <v>2.7377899999999999</v>
      </c>
      <c r="Y11" s="17">
        <v>1</v>
      </c>
      <c r="Z11" s="13">
        <f>1.6*1.5</f>
        <v>2.4000000000000004</v>
      </c>
      <c r="AA11" s="15"/>
      <c r="AB11" s="16"/>
      <c r="AC11" s="17"/>
      <c r="AD11" s="13"/>
      <c r="AE11" s="15"/>
      <c r="AF11" s="16"/>
      <c r="AG11" s="13"/>
      <c r="AH11" s="15"/>
      <c r="AI11" s="16"/>
      <c r="AJ11" s="13"/>
      <c r="AK11" s="15"/>
      <c r="AL11" s="16"/>
      <c r="AM11" s="44"/>
    </row>
    <row r="12" spans="2:39" ht="15.95" customHeight="1" x14ac:dyDescent="0.25">
      <c r="B12" s="3">
        <f t="shared" si="0"/>
        <v>38279.957999999999</v>
      </c>
      <c r="C12" s="81">
        <f t="shared" si="1"/>
        <v>1.2000000000000002</v>
      </c>
      <c r="D12" s="82">
        <f t="shared" si="2"/>
        <v>0.4</v>
      </c>
      <c r="E12" s="43" t="s">
        <v>25</v>
      </c>
      <c r="F12" s="23">
        <v>232</v>
      </c>
      <c r="G12" s="4">
        <v>18</v>
      </c>
      <c r="H12" s="14">
        <f t="shared" si="3"/>
        <v>1020.7988800000003</v>
      </c>
      <c r="I12" s="14">
        <f t="shared" si="4"/>
        <v>1224.9586560000002</v>
      </c>
      <c r="J12" s="4">
        <v>441</v>
      </c>
      <c r="K12" s="4"/>
      <c r="L12" s="4" t="s">
        <v>24</v>
      </c>
      <c r="M12" s="4" t="s">
        <v>18</v>
      </c>
      <c r="N12" s="4" t="s">
        <v>21</v>
      </c>
      <c r="O12" s="13">
        <v>0</v>
      </c>
      <c r="P12" s="13">
        <v>0</v>
      </c>
      <c r="Q12" s="63">
        <f t="shared" si="5"/>
        <v>3240</v>
      </c>
      <c r="R12" s="74">
        <f t="shared" si="6"/>
        <v>17.519978999999999</v>
      </c>
      <c r="S12" s="70">
        <v>150</v>
      </c>
      <c r="T12" s="16">
        <v>0.81772</v>
      </c>
      <c r="U12" s="17">
        <v>2.2999999999999998</v>
      </c>
      <c r="V12" s="13">
        <v>1.5</v>
      </c>
      <c r="W12" s="15">
        <v>190</v>
      </c>
      <c r="X12" s="16">
        <v>1.02091</v>
      </c>
      <c r="Y12" s="17">
        <v>2</v>
      </c>
      <c r="Z12" s="13">
        <v>0</v>
      </c>
      <c r="AA12" s="15">
        <v>182</v>
      </c>
      <c r="AB12" s="16">
        <v>0.97787000000000002</v>
      </c>
      <c r="AC12" s="17">
        <v>1</v>
      </c>
      <c r="AD12" s="13">
        <v>0</v>
      </c>
      <c r="AE12" s="15">
        <v>605</v>
      </c>
      <c r="AF12" s="16">
        <v>3.26641</v>
      </c>
      <c r="AG12" s="13">
        <f>1.5*3</f>
        <v>4.5</v>
      </c>
      <c r="AH12" s="15"/>
      <c r="AI12" s="16"/>
      <c r="AJ12" s="13"/>
      <c r="AK12" s="15"/>
      <c r="AL12" s="16"/>
      <c r="AM12" s="44"/>
    </row>
    <row r="13" spans="2:39" ht="15.95" customHeight="1" x14ac:dyDescent="0.25">
      <c r="B13" s="3">
        <f t="shared" si="0"/>
        <v>42724.864000000001</v>
      </c>
      <c r="C13" s="81">
        <f t="shared" si="1"/>
        <v>1.2000000000000002</v>
      </c>
      <c r="D13" s="82">
        <f t="shared" si="2"/>
        <v>0.4</v>
      </c>
      <c r="E13" s="43" t="s">
        <v>26</v>
      </c>
      <c r="F13" s="23">
        <v>323</v>
      </c>
      <c r="G13" s="4">
        <v>16</v>
      </c>
      <c r="H13" s="18">
        <f t="shared" si="3"/>
        <v>1281.7459200000003</v>
      </c>
      <c r="I13" s="18">
        <f t="shared" si="4"/>
        <v>1281.7459200000003</v>
      </c>
      <c r="J13" s="4">
        <v>412</v>
      </c>
      <c r="K13" s="4"/>
      <c r="L13" s="4" t="s">
        <v>24</v>
      </c>
      <c r="M13" s="4"/>
      <c r="N13" s="4"/>
      <c r="O13" s="13">
        <v>0</v>
      </c>
      <c r="P13" s="13">
        <v>0</v>
      </c>
      <c r="Q13" s="64">
        <f t="shared" si="5"/>
        <v>3617.5999999999995</v>
      </c>
      <c r="R13" s="75">
        <f t="shared" si="6"/>
        <v>19.553632</v>
      </c>
      <c r="S13" s="71">
        <v>323</v>
      </c>
      <c r="T13" s="20">
        <v>1.74586</v>
      </c>
      <c r="U13" s="17">
        <v>5</v>
      </c>
      <c r="V13" s="13">
        <f>1.6*1.4</f>
        <v>2.2399999999999998</v>
      </c>
      <c r="W13" s="4"/>
      <c r="X13" s="11"/>
      <c r="Y13" s="12"/>
      <c r="Z13" s="10"/>
      <c r="AA13" s="4"/>
      <c r="AB13" s="11"/>
      <c r="AC13" s="12"/>
      <c r="AD13" s="10"/>
      <c r="AE13" s="4"/>
      <c r="AF13" s="11"/>
      <c r="AG13" s="10"/>
      <c r="AH13" s="4"/>
      <c r="AI13" s="11"/>
      <c r="AJ13" s="13"/>
      <c r="AK13" s="4"/>
      <c r="AL13" s="11"/>
      <c r="AM13" s="45"/>
    </row>
    <row r="14" spans="2:39" ht="15.95" customHeight="1" x14ac:dyDescent="0.25">
      <c r="B14" s="3">
        <f t="shared" si="0"/>
        <v>21963.74</v>
      </c>
      <c r="C14" s="81">
        <f t="shared" si="1"/>
        <v>1.2000000000000002</v>
      </c>
      <c r="D14" s="82">
        <f t="shared" si="2"/>
        <v>0.4</v>
      </c>
      <c r="E14" s="43" t="s">
        <v>27</v>
      </c>
      <c r="F14" s="23">
        <v>323</v>
      </c>
      <c r="G14" s="4">
        <v>16</v>
      </c>
      <c r="H14" s="14">
        <f t="shared" si="3"/>
        <v>658.91220000000021</v>
      </c>
      <c r="I14" s="14">
        <f t="shared" si="4"/>
        <v>790.69464000000028</v>
      </c>
      <c r="J14" s="4">
        <v>412</v>
      </c>
      <c r="K14" s="4"/>
      <c r="L14" s="4"/>
      <c r="M14" s="4" t="s">
        <v>18</v>
      </c>
      <c r="N14" s="4" t="s">
        <v>21</v>
      </c>
      <c r="O14" s="13">
        <v>0</v>
      </c>
      <c r="P14" s="13">
        <v>0</v>
      </c>
      <c r="Q14" s="63">
        <f t="shared" si="5"/>
        <v>1864</v>
      </c>
      <c r="R14" s="74">
        <f t="shared" si="6"/>
        <v>10.04987</v>
      </c>
      <c r="S14" s="70">
        <v>88</v>
      </c>
      <c r="T14" s="16">
        <v>0.47317999999999999</v>
      </c>
      <c r="U14" s="17">
        <v>5</v>
      </c>
      <c r="V14" s="13">
        <v>2</v>
      </c>
      <c r="W14" s="15">
        <v>656</v>
      </c>
      <c r="X14" s="16">
        <v>3.5453800000000002</v>
      </c>
      <c r="Y14" s="17">
        <v>1</v>
      </c>
      <c r="Z14" s="13">
        <v>1.5</v>
      </c>
      <c r="AA14" s="15"/>
      <c r="AB14" s="16"/>
      <c r="AC14" s="17"/>
      <c r="AD14" s="13"/>
      <c r="AE14" s="15"/>
      <c r="AF14" s="16"/>
      <c r="AG14" s="13"/>
      <c r="AH14" s="15"/>
      <c r="AI14" s="16"/>
      <c r="AJ14" s="13"/>
      <c r="AK14" s="15"/>
      <c r="AL14" s="16"/>
      <c r="AM14" s="44"/>
    </row>
    <row r="15" spans="2:39" ht="15.95" customHeight="1" thickBot="1" x14ac:dyDescent="0.3">
      <c r="B15" s="3">
        <f t="shared" si="0"/>
        <v>0</v>
      </c>
      <c r="C15" s="81">
        <f t="shared" si="1"/>
        <v>1.2000000000000002</v>
      </c>
      <c r="D15" s="82">
        <f t="shared" si="2"/>
        <v>0.4</v>
      </c>
      <c r="E15" s="46" t="s">
        <v>28</v>
      </c>
      <c r="F15" s="28">
        <v>321</v>
      </c>
      <c r="G15" s="29">
        <v>24</v>
      </c>
      <c r="H15" s="30">
        <f t="shared" si="3"/>
        <v>0</v>
      </c>
      <c r="I15" s="30">
        <f t="shared" si="4"/>
        <v>0</v>
      </c>
      <c r="J15" s="29">
        <v>592</v>
      </c>
      <c r="K15" s="29"/>
      <c r="L15" s="29"/>
      <c r="M15" s="29"/>
      <c r="N15" s="29"/>
      <c r="O15" s="31">
        <v>0</v>
      </c>
      <c r="P15" s="31">
        <v>0</v>
      </c>
      <c r="Q15" s="65">
        <f t="shared" si="5"/>
        <v>0</v>
      </c>
      <c r="R15" s="76">
        <f t="shared" si="6"/>
        <v>0</v>
      </c>
      <c r="S15" s="71"/>
      <c r="T15" s="20"/>
      <c r="U15" s="17"/>
      <c r="V15" s="13"/>
      <c r="W15" s="15"/>
      <c r="X15" s="16"/>
      <c r="Y15" s="17"/>
      <c r="Z15" s="13"/>
      <c r="AA15" s="15"/>
      <c r="AB15" s="16"/>
      <c r="AC15" s="17"/>
      <c r="AD15" s="13"/>
      <c r="AE15" s="15"/>
      <c r="AF15" s="16"/>
      <c r="AG15" s="13"/>
      <c r="AH15" s="15"/>
      <c r="AI15" s="16"/>
      <c r="AJ15" s="13"/>
      <c r="AK15" s="15"/>
      <c r="AL15" s="16"/>
      <c r="AM15" s="44"/>
    </row>
    <row r="16" spans="2:39" ht="15.95" customHeight="1" thickTop="1" x14ac:dyDescent="0.25">
      <c r="B16" s="3">
        <f t="shared" si="0"/>
        <v>28465.866000000002</v>
      </c>
      <c r="C16" s="81">
        <f t="shared" si="1"/>
        <v>1.35</v>
      </c>
      <c r="D16" s="82">
        <f t="shared" si="2"/>
        <v>0.4</v>
      </c>
      <c r="E16" s="47" t="s">
        <v>29</v>
      </c>
      <c r="F16" s="24">
        <v>121</v>
      </c>
      <c r="G16" s="25">
        <v>15</v>
      </c>
      <c r="H16" s="32">
        <f t="shared" si="3"/>
        <v>1024.7711760000002</v>
      </c>
      <c r="I16" s="32">
        <f t="shared" si="4"/>
        <v>1229.7254112000003</v>
      </c>
      <c r="J16" s="25">
        <v>469</v>
      </c>
      <c r="K16" s="25"/>
      <c r="L16" s="25" t="s">
        <v>30</v>
      </c>
      <c r="M16" s="25" t="s">
        <v>18</v>
      </c>
      <c r="N16" s="25"/>
      <c r="O16" s="27">
        <v>0.15</v>
      </c>
      <c r="P16" s="27">
        <v>0</v>
      </c>
      <c r="Q16" s="66">
        <f t="shared" si="5"/>
        <v>2388.1</v>
      </c>
      <c r="R16" s="77">
        <f t="shared" si="6"/>
        <v>13.038883000000002</v>
      </c>
      <c r="S16" s="70">
        <v>167</v>
      </c>
      <c r="T16" s="16">
        <v>0.91181000000000001</v>
      </c>
      <c r="U16" s="17">
        <v>11</v>
      </c>
      <c r="V16" s="13">
        <v>1.3</v>
      </c>
      <c r="W16" s="15"/>
      <c r="X16" s="16"/>
      <c r="Y16" s="17"/>
      <c r="Z16" s="13"/>
      <c r="AA16" s="15"/>
      <c r="AB16" s="16"/>
      <c r="AC16" s="21"/>
      <c r="AD16" s="13"/>
      <c r="AE16" s="22"/>
      <c r="AF16" s="16"/>
      <c r="AG16" s="13"/>
      <c r="AH16" s="15"/>
      <c r="AI16" s="16"/>
      <c r="AJ16" s="13"/>
      <c r="AK16" s="15"/>
      <c r="AL16" s="16"/>
      <c r="AM16" s="44"/>
    </row>
    <row r="17" spans="2:39" ht="15.95" customHeight="1" x14ac:dyDescent="0.25">
      <c r="B17" s="3">
        <f t="shared" si="0"/>
        <v>43793.640000000007</v>
      </c>
      <c r="C17" s="81">
        <f t="shared" si="1"/>
        <v>1.35</v>
      </c>
      <c r="D17" s="82">
        <f t="shared" si="2"/>
        <v>0.4</v>
      </c>
      <c r="E17" s="43" t="s">
        <v>29</v>
      </c>
      <c r="F17" s="23">
        <v>122</v>
      </c>
      <c r="G17" s="4">
        <v>15</v>
      </c>
      <c r="H17" s="14">
        <f t="shared" si="3"/>
        <v>1576.5710400000003</v>
      </c>
      <c r="I17" s="14">
        <f t="shared" si="4"/>
        <v>1891.8852480000003</v>
      </c>
      <c r="J17" s="4">
        <v>469</v>
      </c>
      <c r="K17" s="4"/>
      <c r="L17" s="4" t="s">
        <v>30</v>
      </c>
      <c r="M17" s="4" t="s">
        <v>18</v>
      </c>
      <c r="N17" s="4"/>
      <c r="O17" s="13">
        <v>0.15</v>
      </c>
      <c r="P17" s="13">
        <v>0</v>
      </c>
      <c r="Q17" s="63">
        <f t="shared" si="5"/>
        <v>3674</v>
      </c>
      <c r="R17" s="74">
        <f t="shared" si="6"/>
        <v>20.059820000000002</v>
      </c>
      <c r="S17" s="70">
        <v>167</v>
      </c>
      <c r="T17" s="16">
        <v>0.91181000000000001</v>
      </c>
      <c r="U17" s="17">
        <v>11</v>
      </c>
      <c r="V17" s="13">
        <v>2</v>
      </c>
      <c r="W17" s="15"/>
      <c r="X17" s="16"/>
      <c r="Y17" s="17"/>
      <c r="Z17" s="13"/>
      <c r="AA17" s="15"/>
      <c r="AB17" s="16"/>
      <c r="AC17" s="21"/>
      <c r="AD17" s="13"/>
      <c r="AE17" s="22"/>
      <c r="AF17" s="16"/>
      <c r="AG17" s="13"/>
      <c r="AH17" s="15"/>
      <c r="AI17" s="16"/>
      <c r="AJ17" s="13"/>
      <c r="AK17" s="15"/>
      <c r="AL17" s="16"/>
      <c r="AM17" s="44"/>
    </row>
    <row r="18" spans="2:39" ht="15.95" customHeight="1" x14ac:dyDescent="0.25">
      <c r="B18" s="3">
        <f t="shared" si="0"/>
        <v>17630.591999999997</v>
      </c>
      <c r="C18" s="81">
        <f t="shared" si="1"/>
        <v>1.2000000000000002</v>
      </c>
      <c r="D18" s="82">
        <f t="shared" si="2"/>
        <v>0.4</v>
      </c>
      <c r="E18" s="43" t="s">
        <v>31</v>
      </c>
      <c r="F18" s="23">
        <v>121</v>
      </c>
      <c r="G18" s="4">
        <v>18</v>
      </c>
      <c r="H18" s="14">
        <f t="shared" si="3"/>
        <v>470.14912000000004</v>
      </c>
      <c r="I18" s="14">
        <f t="shared" si="4"/>
        <v>564.178944</v>
      </c>
      <c r="J18" s="4">
        <v>441</v>
      </c>
      <c r="K18" s="4"/>
      <c r="L18" s="4" t="s">
        <v>32</v>
      </c>
      <c r="M18" s="4" t="s">
        <v>18</v>
      </c>
      <c r="N18" s="4"/>
      <c r="O18" s="13">
        <v>0</v>
      </c>
      <c r="P18" s="13">
        <v>0</v>
      </c>
      <c r="Q18" s="63">
        <f t="shared" si="5"/>
        <v>1498</v>
      </c>
      <c r="R18" s="74">
        <f t="shared" si="6"/>
        <v>8.0662959999999995</v>
      </c>
      <c r="S18" s="70">
        <v>67</v>
      </c>
      <c r="T18" s="16">
        <v>0.35491</v>
      </c>
      <c r="U18" s="17">
        <v>0</v>
      </c>
      <c r="V18" s="13"/>
      <c r="W18" s="15">
        <v>61</v>
      </c>
      <c r="X18" s="16">
        <v>0.32429000000000002</v>
      </c>
      <c r="Y18" s="17">
        <v>1</v>
      </c>
      <c r="Z18" s="13">
        <v>1.4</v>
      </c>
      <c r="AA18" s="15">
        <v>1009</v>
      </c>
      <c r="AB18" s="16">
        <v>5.4373500000000003</v>
      </c>
      <c r="AC18" s="17">
        <v>1</v>
      </c>
      <c r="AD18" s="13">
        <v>1.4</v>
      </c>
      <c r="AE18" s="15"/>
      <c r="AF18" s="16"/>
      <c r="AG18" s="13"/>
      <c r="AH18" s="15"/>
      <c r="AI18" s="16"/>
      <c r="AJ18" s="13"/>
      <c r="AK18" s="15"/>
      <c r="AL18" s="16"/>
      <c r="AM18" s="44"/>
    </row>
    <row r="19" spans="2:39" ht="15.95" customHeight="1" x14ac:dyDescent="0.25">
      <c r="B19" s="3">
        <f t="shared" si="0"/>
        <v>35261.183999999994</v>
      </c>
      <c r="C19" s="81">
        <f t="shared" si="1"/>
        <v>1.2000000000000002</v>
      </c>
      <c r="D19" s="82">
        <f t="shared" si="2"/>
        <v>0.4</v>
      </c>
      <c r="E19" s="43" t="s">
        <v>31</v>
      </c>
      <c r="F19" s="23">
        <v>122</v>
      </c>
      <c r="G19" s="4">
        <v>24</v>
      </c>
      <c r="H19" s="14">
        <f t="shared" si="3"/>
        <v>705.22368000000006</v>
      </c>
      <c r="I19" s="14">
        <f t="shared" si="4"/>
        <v>846.268416</v>
      </c>
      <c r="J19" s="4">
        <v>441</v>
      </c>
      <c r="K19" s="4"/>
      <c r="L19" s="4" t="s">
        <v>32</v>
      </c>
      <c r="M19" s="4" t="s">
        <v>18</v>
      </c>
      <c r="N19" s="4"/>
      <c r="O19" s="13">
        <v>0</v>
      </c>
      <c r="P19" s="13">
        <v>0</v>
      </c>
      <c r="Q19" s="63">
        <f t="shared" si="5"/>
        <v>2996</v>
      </c>
      <c r="R19" s="74">
        <f t="shared" si="6"/>
        <v>16.132591999999999</v>
      </c>
      <c r="S19" s="70">
        <v>67</v>
      </c>
      <c r="T19" s="16">
        <v>0.35491</v>
      </c>
      <c r="U19" s="17">
        <v>0</v>
      </c>
      <c r="V19" s="13"/>
      <c r="W19" s="15">
        <v>61</v>
      </c>
      <c r="X19" s="16">
        <v>0.32429000000000002</v>
      </c>
      <c r="Y19" s="17">
        <v>1</v>
      </c>
      <c r="Z19" s="13">
        <v>2.8</v>
      </c>
      <c r="AA19" s="15">
        <v>1009</v>
      </c>
      <c r="AB19" s="16">
        <v>5.4373500000000003</v>
      </c>
      <c r="AC19" s="17">
        <v>1</v>
      </c>
      <c r="AD19" s="13">
        <v>2.8</v>
      </c>
      <c r="AE19" s="15"/>
      <c r="AF19" s="16"/>
      <c r="AG19" s="13"/>
      <c r="AH19" s="15"/>
      <c r="AI19" s="16"/>
      <c r="AJ19" s="13"/>
      <c r="AK19" s="15"/>
      <c r="AL19" s="16"/>
      <c r="AM19" s="44"/>
    </row>
    <row r="20" spans="2:39" ht="15.95" customHeight="1" x14ac:dyDescent="0.25">
      <c r="B20" s="3">
        <f t="shared" si="0"/>
        <v>9687.7199999999993</v>
      </c>
      <c r="C20" s="81">
        <f t="shared" si="1"/>
        <v>1.2000000000000002</v>
      </c>
      <c r="D20" s="82">
        <f t="shared" si="2"/>
        <v>0.4</v>
      </c>
      <c r="E20" s="43" t="s">
        <v>33</v>
      </c>
      <c r="F20" s="23">
        <v>231</v>
      </c>
      <c r="G20" s="4">
        <v>25</v>
      </c>
      <c r="H20" s="14">
        <f t="shared" si="3"/>
        <v>186.00422400000002</v>
      </c>
      <c r="I20" s="14">
        <f t="shared" si="4"/>
        <v>223.20506880000002</v>
      </c>
      <c r="J20" s="4">
        <v>533</v>
      </c>
      <c r="K20" s="4" t="s">
        <v>34</v>
      </c>
      <c r="L20" s="4"/>
      <c r="M20" s="4" t="s">
        <v>18</v>
      </c>
      <c r="N20" s="4"/>
      <c r="O20" s="13">
        <v>0</v>
      </c>
      <c r="P20" s="13">
        <v>0</v>
      </c>
      <c r="Q20" s="63">
        <f t="shared" si="5"/>
        <v>823</v>
      </c>
      <c r="R20" s="74">
        <f t="shared" si="6"/>
        <v>4.4323600000000001</v>
      </c>
      <c r="S20" s="70">
        <v>823</v>
      </c>
      <c r="T20" s="16">
        <v>4.4323600000000001</v>
      </c>
      <c r="U20" s="17">
        <v>1</v>
      </c>
      <c r="V20" s="13">
        <v>1</v>
      </c>
      <c r="W20" s="15"/>
      <c r="X20" s="16"/>
      <c r="Y20" s="17"/>
      <c r="Z20" s="13"/>
      <c r="AA20" s="15"/>
      <c r="AB20" s="16"/>
      <c r="AC20" s="17"/>
      <c r="AD20" s="13"/>
      <c r="AE20" s="15"/>
      <c r="AF20" s="16"/>
      <c r="AG20" s="13"/>
      <c r="AH20" s="15"/>
      <c r="AI20" s="16"/>
      <c r="AJ20" s="13"/>
      <c r="AK20" s="15"/>
      <c r="AL20" s="16"/>
      <c r="AM20" s="44"/>
    </row>
    <row r="21" spans="2:39" ht="15.95" customHeight="1" x14ac:dyDescent="0.25">
      <c r="B21" s="3">
        <f t="shared" si="0"/>
        <v>33907.020000000004</v>
      </c>
      <c r="C21" s="81">
        <f t="shared" si="1"/>
        <v>1.2000000000000002</v>
      </c>
      <c r="D21" s="82">
        <f t="shared" si="2"/>
        <v>0.4</v>
      </c>
      <c r="E21" s="43" t="s">
        <v>33</v>
      </c>
      <c r="F21" s="23">
        <v>213</v>
      </c>
      <c r="G21" s="4">
        <v>20</v>
      </c>
      <c r="H21" s="14">
        <f t="shared" si="3"/>
        <v>813.7684800000003</v>
      </c>
      <c r="I21" s="14">
        <f t="shared" si="4"/>
        <v>976.52217600000029</v>
      </c>
      <c r="J21" s="4">
        <v>533</v>
      </c>
      <c r="K21" s="4" t="s">
        <v>34</v>
      </c>
      <c r="L21" s="4"/>
      <c r="M21" s="4" t="s">
        <v>18</v>
      </c>
      <c r="N21" s="4"/>
      <c r="O21" s="13">
        <v>0</v>
      </c>
      <c r="P21" s="13">
        <v>0</v>
      </c>
      <c r="Q21" s="63">
        <f t="shared" si="5"/>
        <v>2880.5</v>
      </c>
      <c r="R21" s="74">
        <f t="shared" si="6"/>
        <v>15.513260000000001</v>
      </c>
      <c r="S21" s="70">
        <v>823</v>
      </c>
      <c r="T21" s="16">
        <v>4.4323600000000001</v>
      </c>
      <c r="U21" s="17">
        <v>1</v>
      </c>
      <c r="V21" s="13">
        <v>3.5</v>
      </c>
      <c r="W21" s="15"/>
      <c r="X21" s="16"/>
      <c r="Y21" s="17"/>
      <c r="Z21" s="13"/>
      <c r="AA21" s="15"/>
      <c r="AB21" s="16"/>
      <c r="AC21" s="17"/>
      <c r="AD21" s="13"/>
      <c r="AE21" s="15"/>
      <c r="AF21" s="16"/>
      <c r="AG21" s="13"/>
      <c r="AH21" s="15"/>
      <c r="AI21" s="16"/>
      <c r="AJ21" s="13"/>
      <c r="AK21" s="15"/>
      <c r="AL21" s="16"/>
      <c r="AM21" s="44"/>
    </row>
    <row r="22" spans="2:39" ht="15.95" customHeight="1" x14ac:dyDescent="0.25">
      <c r="B22" s="3">
        <f t="shared" si="0"/>
        <v>62236.232499999998</v>
      </c>
      <c r="C22" s="81">
        <f t="shared" si="1"/>
        <v>1.5</v>
      </c>
      <c r="D22" s="82">
        <f t="shared" si="2"/>
        <v>0.4</v>
      </c>
      <c r="E22" s="43" t="s">
        <v>35</v>
      </c>
      <c r="F22" s="23">
        <v>221</v>
      </c>
      <c r="G22" s="4">
        <v>25</v>
      </c>
      <c r="H22" s="14">
        <f t="shared" si="3"/>
        <v>1493.6695800000002</v>
      </c>
      <c r="I22" s="14">
        <f t="shared" si="4"/>
        <v>1792.4034960000001</v>
      </c>
      <c r="J22" s="4">
        <v>533</v>
      </c>
      <c r="K22" s="4"/>
      <c r="L22" s="4" t="s">
        <v>32</v>
      </c>
      <c r="M22" s="4" t="s">
        <v>18</v>
      </c>
      <c r="N22" s="4"/>
      <c r="O22" s="13">
        <v>0.3</v>
      </c>
      <c r="P22" s="13">
        <v>0</v>
      </c>
      <c r="Q22" s="63">
        <f t="shared" si="5"/>
        <v>5259.3125</v>
      </c>
      <c r="R22" s="74">
        <f t="shared" si="6"/>
        <v>28.48846</v>
      </c>
      <c r="S22" s="70">
        <v>196</v>
      </c>
      <c r="T22" s="16">
        <v>1.0522</v>
      </c>
      <c r="U22" s="17">
        <v>2</v>
      </c>
      <c r="V22" s="13">
        <f>1.3*2.5</f>
        <v>3.25</v>
      </c>
      <c r="W22" s="15">
        <v>257</v>
      </c>
      <c r="X22" s="16">
        <v>1.4013199999999999</v>
      </c>
      <c r="Y22" s="17">
        <v>2.25</v>
      </c>
      <c r="Z22" s="13">
        <f>1.3*2.5</f>
        <v>3.25</v>
      </c>
      <c r="AA22" s="15">
        <v>648</v>
      </c>
      <c r="AB22" s="16">
        <v>3.5083099999999998</v>
      </c>
      <c r="AC22" s="17">
        <v>1</v>
      </c>
      <c r="AD22" s="13">
        <f>1.3*2.5</f>
        <v>3.25</v>
      </c>
      <c r="AE22" s="15"/>
      <c r="AF22" s="16"/>
      <c r="AG22" s="13"/>
      <c r="AH22" s="15"/>
      <c r="AI22" s="16"/>
      <c r="AJ22" s="13"/>
      <c r="AK22" s="15"/>
      <c r="AL22" s="16"/>
      <c r="AM22" s="44"/>
    </row>
    <row r="23" spans="2:39" ht="15.95" customHeight="1" x14ac:dyDescent="0.25">
      <c r="B23" s="3">
        <f t="shared" si="0"/>
        <v>118986.4</v>
      </c>
      <c r="C23" s="81">
        <f t="shared" si="1"/>
        <v>1.2000000000000002</v>
      </c>
      <c r="D23" s="82">
        <f t="shared" si="2"/>
        <v>0.4</v>
      </c>
      <c r="E23" s="43" t="s">
        <v>36</v>
      </c>
      <c r="F23" s="23">
        <v>122</v>
      </c>
      <c r="G23" s="4">
        <v>21</v>
      </c>
      <c r="H23" s="18">
        <f t="shared" si="3"/>
        <v>2719.6891428571435</v>
      </c>
      <c r="I23" s="18">
        <f t="shared" si="4"/>
        <v>2719.6891428571435</v>
      </c>
      <c r="J23" s="4">
        <v>657</v>
      </c>
      <c r="K23" s="4"/>
      <c r="L23" s="4"/>
      <c r="M23" s="4"/>
      <c r="N23" s="4"/>
      <c r="O23" s="13">
        <v>0</v>
      </c>
      <c r="P23" s="13">
        <v>0</v>
      </c>
      <c r="Q23" s="64">
        <f t="shared" si="5"/>
        <v>10031</v>
      </c>
      <c r="R23" s="75">
        <f t="shared" si="6"/>
        <v>54.477699999999999</v>
      </c>
      <c r="S23" s="71">
        <v>167</v>
      </c>
      <c r="T23" s="20">
        <v>0.92266000000000004</v>
      </c>
      <c r="U23" s="17">
        <v>1</v>
      </c>
      <c r="V23" s="13">
        <v>1</v>
      </c>
      <c r="W23" s="19">
        <v>137</v>
      </c>
      <c r="X23" s="20">
        <v>0.74382000000000004</v>
      </c>
      <c r="Y23" s="17">
        <v>32</v>
      </c>
      <c r="Z23" s="13">
        <v>1</v>
      </c>
      <c r="AA23" s="19">
        <f>W23*40</f>
        <v>5480</v>
      </c>
      <c r="AB23" s="20">
        <f>X23*40</f>
        <v>29.752800000000001</v>
      </c>
      <c r="AC23" s="17">
        <v>1</v>
      </c>
      <c r="AD23" s="13">
        <v>1</v>
      </c>
      <c r="AE23" s="19"/>
      <c r="AF23" s="20"/>
      <c r="AG23" s="13"/>
      <c r="AH23" s="19"/>
      <c r="AI23" s="20"/>
      <c r="AJ23" s="13"/>
      <c r="AK23" s="19"/>
      <c r="AL23" s="20"/>
      <c r="AM23" s="44"/>
    </row>
    <row r="24" spans="2:39" ht="15.95" customHeight="1" x14ac:dyDescent="0.25">
      <c r="B24" s="3">
        <f t="shared" si="0"/>
        <v>95022.959999999992</v>
      </c>
      <c r="C24" s="81">
        <f t="shared" si="1"/>
        <v>1.3</v>
      </c>
      <c r="D24" s="82">
        <f t="shared" si="2"/>
        <v>0.4</v>
      </c>
      <c r="E24" s="43" t="s">
        <v>36</v>
      </c>
      <c r="F24" s="23">
        <v>131</v>
      </c>
      <c r="G24" s="4">
        <v>36</v>
      </c>
      <c r="H24" s="18">
        <f t="shared" si="3"/>
        <v>1372.5538666666666</v>
      </c>
      <c r="I24" s="18">
        <f t="shared" si="4"/>
        <v>1372.5538666666666</v>
      </c>
      <c r="J24" s="4">
        <v>657</v>
      </c>
      <c r="K24" s="4"/>
      <c r="L24" s="4"/>
      <c r="M24" s="4"/>
      <c r="N24" s="4"/>
      <c r="O24" s="13">
        <v>0</v>
      </c>
      <c r="P24" s="13">
        <v>0.5</v>
      </c>
      <c r="Q24" s="64">
        <f t="shared" si="5"/>
        <v>8010.2499999999991</v>
      </c>
      <c r="R24" s="75">
        <f t="shared" si="6"/>
        <v>43.506354999999999</v>
      </c>
      <c r="S24" s="71">
        <v>167</v>
      </c>
      <c r="T24" s="20">
        <v>0.92266000000000004</v>
      </c>
      <c r="U24" s="17">
        <v>1</v>
      </c>
      <c r="V24" s="13">
        <v>1</v>
      </c>
      <c r="W24" s="19">
        <v>137</v>
      </c>
      <c r="X24" s="20">
        <v>0.74382000000000004</v>
      </c>
      <c r="Y24" s="17">
        <v>40</v>
      </c>
      <c r="Z24" s="13">
        <f>(12.25+1.5*30)/40</f>
        <v>1.4312499999999999</v>
      </c>
      <c r="AA24" s="19"/>
      <c r="AB24" s="20"/>
      <c r="AC24" s="17"/>
      <c r="AD24" s="13"/>
      <c r="AE24" s="19"/>
      <c r="AF24" s="20"/>
      <c r="AG24" s="13"/>
      <c r="AH24" s="19"/>
      <c r="AI24" s="20"/>
      <c r="AJ24" s="13"/>
      <c r="AK24" s="19"/>
      <c r="AL24" s="20"/>
      <c r="AM24" s="44"/>
    </row>
    <row r="25" spans="2:39" ht="15.95" customHeight="1" thickBot="1" x14ac:dyDescent="0.3">
      <c r="B25" s="3">
        <f t="shared" si="0"/>
        <v>192501.36</v>
      </c>
      <c r="C25" s="81">
        <f t="shared" si="1"/>
        <v>1.2000000000000002</v>
      </c>
      <c r="D25" s="82">
        <f t="shared" si="2"/>
        <v>0.4</v>
      </c>
      <c r="E25" s="46" t="s">
        <v>36</v>
      </c>
      <c r="F25" s="28">
        <v>132</v>
      </c>
      <c r="G25" s="29">
        <v>36</v>
      </c>
      <c r="H25" s="30">
        <f t="shared" si="3"/>
        <v>2566.6848000000005</v>
      </c>
      <c r="I25" s="30">
        <f t="shared" si="4"/>
        <v>2566.6848000000005</v>
      </c>
      <c r="J25" s="29">
        <v>657</v>
      </c>
      <c r="K25" s="29"/>
      <c r="L25" s="29"/>
      <c r="M25" s="29"/>
      <c r="N25" s="29"/>
      <c r="O25" s="31">
        <v>0</v>
      </c>
      <c r="P25" s="31">
        <v>0</v>
      </c>
      <c r="Q25" s="65">
        <f t="shared" si="5"/>
        <v>16230.25</v>
      </c>
      <c r="R25" s="76">
        <f t="shared" si="6"/>
        <v>88.135554999999997</v>
      </c>
      <c r="S25" s="71">
        <v>167</v>
      </c>
      <c r="T25" s="20">
        <v>0.92266000000000004</v>
      </c>
      <c r="U25" s="17">
        <v>1</v>
      </c>
      <c r="V25" s="13">
        <v>1</v>
      </c>
      <c r="W25" s="19">
        <v>137</v>
      </c>
      <c r="X25" s="20">
        <v>0.74382000000000004</v>
      </c>
      <c r="Y25" s="17">
        <v>40</v>
      </c>
      <c r="Z25" s="13">
        <f>(12.25+1.5*30)/40</f>
        <v>1.4312499999999999</v>
      </c>
      <c r="AA25" s="19">
        <f>W25*40*1.5</f>
        <v>8220</v>
      </c>
      <c r="AB25" s="20">
        <f>X25*40*1.5</f>
        <v>44.629199999999997</v>
      </c>
      <c r="AC25" s="17">
        <v>1</v>
      </c>
      <c r="AD25" s="13">
        <v>1</v>
      </c>
      <c r="AE25" s="19"/>
      <c r="AF25" s="20"/>
      <c r="AG25" s="13"/>
      <c r="AH25" s="19"/>
      <c r="AI25" s="20"/>
      <c r="AJ25" s="13"/>
      <c r="AK25" s="19"/>
      <c r="AL25" s="20"/>
      <c r="AM25" s="44"/>
    </row>
    <row r="26" spans="2:39" ht="15.95" customHeight="1" thickTop="1" x14ac:dyDescent="0.25">
      <c r="B26" s="3">
        <f t="shared" si="0"/>
        <v>28239.978000000003</v>
      </c>
      <c r="C26" s="81">
        <f t="shared" si="1"/>
        <v>1.2000000000000002</v>
      </c>
      <c r="D26" s="82">
        <f t="shared" ref="D26:D33" si="7">(1+$O$2)*(1+$O$3)*(1-$F$3)*(1+$Q$2)</f>
        <v>0.4</v>
      </c>
      <c r="E26" s="47" t="s">
        <v>37</v>
      </c>
      <c r="F26" s="24">
        <v>131</v>
      </c>
      <c r="G26" s="25">
        <v>16</v>
      </c>
      <c r="H26" s="32">
        <f t="shared" si="3"/>
        <v>847.19934000000012</v>
      </c>
      <c r="I26" s="32">
        <f t="shared" si="4"/>
        <v>1016.6392080000001</v>
      </c>
      <c r="J26" s="25" t="s">
        <v>38</v>
      </c>
      <c r="K26" s="25" t="s">
        <v>39</v>
      </c>
      <c r="L26" s="25" t="s">
        <v>24</v>
      </c>
      <c r="M26" s="25" t="s">
        <v>18</v>
      </c>
      <c r="N26" s="25"/>
      <c r="O26" s="27">
        <v>0</v>
      </c>
      <c r="P26" s="27">
        <v>0</v>
      </c>
      <c r="Q26" s="66">
        <f t="shared" si="5"/>
        <v>2384.8500000000004</v>
      </c>
      <c r="R26" s="77">
        <f t="shared" si="6"/>
        <v>12.927564000000002</v>
      </c>
      <c r="S26" s="70">
        <v>1223</v>
      </c>
      <c r="T26" s="16">
        <v>6.6295200000000003</v>
      </c>
      <c r="U26" s="17">
        <v>1</v>
      </c>
      <c r="V26" s="13">
        <f>1.3*1.5</f>
        <v>1.9500000000000002</v>
      </c>
      <c r="W26" s="15"/>
      <c r="X26" s="16"/>
      <c r="Y26" s="17"/>
      <c r="Z26" s="13"/>
      <c r="AA26" s="15"/>
      <c r="AB26" s="16"/>
      <c r="AC26" s="17"/>
      <c r="AD26" s="13"/>
      <c r="AE26" s="15"/>
      <c r="AF26" s="16"/>
      <c r="AG26" s="13"/>
      <c r="AH26" s="15"/>
      <c r="AI26" s="16"/>
      <c r="AJ26" s="13"/>
      <c r="AK26" s="15"/>
      <c r="AL26" s="16"/>
      <c r="AM26" s="44"/>
    </row>
    <row r="27" spans="2:39" ht="15.95" customHeight="1" x14ac:dyDescent="0.25">
      <c r="B27" s="3">
        <f t="shared" si="0"/>
        <v>56230.780000000006</v>
      </c>
      <c r="C27" s="81">
        <f t="shared" si="1"/>
        <v>1.2000000000000002</v>
      </c>
      <c r="D27" s="82">
        <f t="shared" si="7"/>
        <v>0.4</v>
      </c>
      <c r="E27" s="43" t="s">
        <v>77</v>
      </c>
      <c r="F27" s="23">
        <v>311</v>
      </c>
      <c r="G27" s="4">
        <v>24</v>
      </c>
      <c r="H27" s="14">
        <f t="shared" si="3"/>
        <v>1124.6156000000003</v>
      </c>
      <c r="I27" s="14">
        <f t="shared" si="4"/>
        <v>1349.5387200000002</v>
      </c>
      <c r="J27" s="4" t="s">
        <v>40</v>
      </c>
      <c r="K27" s="4" t="s">
        <v>41</v>
      </c>
      <c r="L27" s="4" t="s">
        <v>42</v>
      </c>
      <c r="M27" s="4" t="s">
        <v>18</v>
      </c>
      <c r="N27" s="4"/>
      <c r="O27" s="13">
        <v>0</v>
      </c>
      <c r="P27" s="13">
        <v>0</v>
      </c>
      <c r="Q27" s="63">
        <f t="shared" si="5"/>
        <v>4763.9000000000005</v>
      </c>
      <c r="R27" s="74">
        <f t="shared" si="6"/>
        <v>25.733440000000002</v>
      </c>
      <c r="S27" s="70">
        <v>88</v>
      </c>
      <c r="T27" s="16">
        <v>0.46834999999999999</v>
      </c>
      <c r="U27" s="17">
        <v>1</v>
      </c>
      <c r="V27" s="13">
        <v>8</v>
      </c>
      <c r="W27" s="15">
        <v>218</v>
      </c>
      <c r="X27" s="16">
        <v>1.17486</v>
      </c>
      <c r="Y27" s="17">
        <v>1</v>
      </c>
      <c r="Z27" s="13">
        <f>1.3*1.5</f>
        <v>1.9500000000000002</v>
      </c>
      <c r="AA27" s="15">
        <v>150</v>
      </c>
      <c r="AB27" s="16">
        <v>0.82230000000000003</v>
      </c>
      <c r="AC27" s="17">
        <v>1</v>
      </c>
      <c r="AD27" s="13">
        <f>1.3*1.5</f>
        <v>1.9500000000000002</v>
      </c>
      <c r="AE27" s="15">
        <v>259</v>
      </c>
      <c r="AF27" s="16">
        <v>1.41079</v>
      </c>
      <c r="AG27" s="13">
        <f>1.3*1.5</f>
        <v>1.9500000000000002</v>
      </c>
      <c r="AH27" s="15">
        <v>369</v>
      </c>
      <c r="AI27" s="16">
        <v>1.99421</v>
      </c>
      <c r="AJ27" s="13">
        <f>1.3*1.5</f>
        <v>1.9500000000000002</v>
      </c>
      <c r="AK27" s="15">
        <v>1086</v>
      </c>
      <c r="AL27" s="16">
        <v>5.8730399999999996</v>
      </c>
      <c r="AM27" s="44">
        <f>1.3*1.5</f>
        <v>1.9500000000000002</v>
      </c>
    </row>
    <row r="28" spans="2:39" ht="15.95" customHeight="1" x14ac:dyDescent="0.25">
      <c r="B28" s="3">
        <f t="shared" si="0"/>
        <v>36948.599999999991</v>
      </c>
      <c r="C28" s="81">
        <f t="shared" si="1"/>
        <v>1.4000000000000001</v>
      </c>
      <c r="D28" s="82">
        <f t="shared" si="7"/>
        <v>0.4</v>
      </c>
      <c r="E28" s="43" t="s">
        <v>6</v>
      </c>
      <c r="F28" s="23">
        <v>321</v>
      </c>
      <c r="G28" s="4">
        <v>24</v>
      </c>
      <c r="H28" s="14">
        <f t="shared" si="3"/>
        <v>862.13400000000001</v>
      </c>
      <c r="I28" s="14">
        <f t="shared" si="4"/>
        <v>1034.5608</v>
      </c>
      <c r="J28" s="4" t="s">
        <v>40</v>
      </c>
      <c r="K28" s="4" t="s">
        <v>41</v>
      </c>
      <c r="L28" s="4" t="s">
        <v>42</v>
      </c>
      <c r="M28" s="4" t="s">
        <v>18</v>
      </c>
      <c r="N28" s="4"/>
      <c r="O28" s="13">
        <v>0</v>
      </c>
      <c r="P28" s="13">
        <v>1</v>
      </c>
      <c r="Q28" s="63">
        <f t="shared" si="5"/>
        <v>3123</v>
      </c>
      <c r="R28" s="74">
        <f t="shared" si="6"/>
        <v>16.912799999999997</v>
      </c>
      <c r="S28" s="70">
        <v>88</v>
      </c>
      <c r="T28" s="16">
        <v>0.46834999999999999</v>
      </c>
      <c r="U28" s="17">
        <v>1</v>
      </c>
      <c r="V28" s="13">
        <v>0</v>
      </c>
      <c r="W28" s="15">
        <v>218</v>
      </c>
      <c r="X28" s="16">
        <v>1.17486</v>
      </c>
      <c r="Y28" s="17">
        <v>1</v>
      </c>
      <c r="Z28" s="13">
        <v>1.5</v>
      </c>
      <c r="AA28" s="15">
        <v>150</v>
      </c>
      <c r="AB28" s="16">
        <v>0.82230000000000003</v>
      </c>
      <c r="AC28" s="17">
        <v>1</v>
      </c>
      <c r="AD28" s="13">
        <v>1.5</v>
      </c>
      <c r="AE28" s="15">
        <v>259</v>
      </c>
      <c r="AF28" s="16">
        <v>1.41079</v>
      </c>
      <c r="AG28" s="13">
        <v>1.5</v>
      </c>
      <c r="AH28" s="15">
        <v>369</v>
      </c>
      <c r="AI28" s="16">
        <v>1.99421</v>
      </c>
      <c r="AJ28" s="13">
        <v>1.5</v>
      </c>
      <c r="AK28" s="15">
        <v>1086</v>
      </c>
      <c r="AL28" s="16">
        <v>5.8730399999999996</v>
      </c>
      <c r="AM28" s="44">
        <v>1.5</v>
      </c>
    </row>
    <row r="29" spans="2:39" ht="15.95" customHeight="1" x14ac:dyDescent="0.25">
      <c r="B29" s="3">
        <f t="shared" si="0"/>
        <v>45146.2</v>
      </c>
      <c r="C29" s="81">
        <f t="shared" si="1"/>
        <v>1.4000000000000001</v>
      </c>
      <c r="D29" s="82">
        <f t="shared" si="7"/>
        <v>0.4</v>
      </c>
      <c r="E29" s="43" t="s">
        <v>77</v>
      </c>
      <c r="F29" s="23">
        <v>321</v>
      </c>
      <c r="G29" s="4">
        <v>24</v>
      </c>
      <c r="H29" s="14">
        <f t="shared" si="3"/>
        <v>1053.4113333333335</v>
      </c>
      <c r="I29" s="14">
        <f t="shared" si="4"/>
        <v>1264.0936000000002</v>
      </c>
      <c r="J29" s="4" t="s">
        <v>40</v>
      </c>
      <c r="K29" s="4" t="s">
        <v>41</v>
      </c>
      <c r="L29" s="4" t="s">
        <v>42</v>
      </c>
      <c r="M29" s="4" t="s">
        <v>18</v>
      </c>
      <c r="N29" s="4"/>
      <c r="O29" s="13">
        <v>0</v>
      </c>
      <c r="P29" s="13">
        <v>1</v>
      </c>
      <c r="Q29" s="63">
        <f t="shared" si="5"/>
        <v>3827</v>
      </c>
      <c r="R29" s="74">
        <f t="shared" si="6"/>
        <v>20.659599999999998</v>
      </c>
      <c r="S29" s="70">
        <v>88</v>
      </c>
      <c r="T29" s="16">
        <v>0.46834999999999999</v>
      </c>
      <c r="U29" s="17">
        <v>1</v>
      </c>
      <c r="V29" s="13">
        <v>8</v>
      </c>
      <c r="W29" s="15">
        <v>218</v>
      </c>
      <c r="X29" s="16">
        <v>1.17486</v>
      </c>
      <c r="Y29" s="17">
        <v>1</v>
      </c>
      <c r="Z29" s="13">
        <v>1.5</v>
      </c>
      <c r="AA29" s="15">
        <v>150</v>
      </c>
      <c r="AB29" s="16">
        <v>0.82230000000000003</v>
      </c>
      <c r="AC29" s="17">
        <v>1</v>
      </c>
      <c r="AD29" s="13">
        <v>1.5</v>
      </c>
      <c r="AE29" s="15">
        <v>259</v>
      </c>
      <c r="AF29" s="16">
        <v>1.41079</v>
      </c>
      <c r="AG29" s="13">
        <v>1.5</v>
      </c>
      <c r="AH29" s="15">
        <v>369</v>
      </c>
      <c r="AI29" s="16">
        <v>1.99421</v>
      </c>
      <c r="AJ29" s="13">
        <v>1.5</v>
      </c>
      <c r="AK29" s="15">
        <v>1086</v>
      </c>
      <c r="AL29" s="16">
        <v>5.8730399999999996</v>
      </c>
      <c r="AM29" s="44">
        <v>1.5</v>
      </c>
    </row>
    <row r="30" spans="2:39" ht="15.95" customHeight="1" x14ac:dyDescent="0.25">
      <c r="B30" s="3">
        <f t="shared" si="0"/>
        <v>42481.031999999999</v>
      </c>
      <c r="C30" s="81">
        <f t="shared" si="1"/>
        <v>1.35</v>
      </c>
      <c r="D30" s="82">
        <f t="shared" si="7"/>
        <v>0.4</v>
      </c>
      <c r="E30" s="43" t="s">
        <v>43</v>
      </c>
      <c r="F30" s="23">
        <v>122</v>
      </c>
      <c r="G30" s="4">
        <v>16</v>
      </c>
      <c r="H30" s="18">
        <f t="shared" si="3"/>
        <v>1433.7348300000003</v>
      </c>
      <c r="I30" s="18">
        <f t="shared" si="4"/>
        <v>1720.4817960000003</v>
      </c>
      <c r="J30" s="4" t="s">
        <v>8</v>
      </c>
      <c r="K30" s="4"/>
      <c r="L30" s="4" t="s">
        <v>32</v>
      </c>
      <c r="M30" s="4" t="s">
        <v>18</v>
      </c>
      <c r="N30" s="4"/>
      <c r="O30" s="13">
        <v>0.15</v>
      </c>
      <c r="P30" s="13">
        <v>0</v>
      </c>
      <c r="Q30" s="64">
        <f t="shared" si="5"/>
        <v>3603.6000000000004</v>
      </c>
      <c r="R30" s="75">
        <f t="shared" si="6"/>
        <v>19.438715999999999</v>
      </c>
      <c r="S30" s="71">
        <v>1092</v>
      </c>
      <c r="T30" s="20">
        <v>5.8905200000000004</v>
      </c>
      <c r="U30" s="17">
        <v>1</v>
      </c>
      <c r="V30" s="13">
        <v>1.8</v>
      </c>
      <c r="W30" s="19">
        <v>1092</v>
      </c>
      <c r="X30" s="20">
        <v>5.8905200000000004</v>
      </c>
      <c r="Y30" s="17">
        <v>1</v>
      </c>
      <c r="Z30" s="13">
        <v>1.5</v>
      </c>
      <c r="AA30" s="19"/>
      <c r="AB30" s="20"/>
      <c r="AC30" s="17"/>
      <c r="AD30" s="13"/>
      <c r="AE30" s="19"/>
      <c r="AF30" s="20"/>
      <c r="AG30" s="13"/>
      <c r="AH30" s="19"/>
      <c r="AI30" s="20"/>
      <c r="AJ30" s="13"/>
      <c r="AK30" s="19"/>
      <c r="AL30" s="20"/>
      <c r="AM30" s="44"/>
    </row>
    <row r="31" spans="2:39" ht="15.95" customHeight="1" x14ac:dyDescent="0.25">
      <c r="B31" s="3">
        <f t="shared" si="0"/>
        <v>73783.75</v>
      </c>
      <c r="C31" s="81">
        <f t="shared" si="1"/>
        <v>1.2200000000000002</v>
      </c>
      <c r="D31" s="82">
        <f t="shared" si="7"/>
        <v>0.4</v>
      </c>
      <c r="E31" s="43" t="s">
        <v>44</v>
      </c>
      <c r="F31" s="23">
        <v>312</v>
      </c>
      <c r="G31" s="4">
        <v>24</v>
      </c>
      <c r="H31" s="18">
        <f t="shared" si="3"/>
        <v>1500.2695833333337</v>
      </c>
      <c r="I31" s="18">
        <f t="shared" si="4"/>
        <v>1800.3235000000004</v>
      </c>
      <c r="J31" s="4" t="s">
        <v>40</v>
      </c>
      <c r="K31" s="4"/>
      <c r="L31" s="4" t="s">
        <v>42</v>
      </c>
      <c r="M31" s="4" t="s">
        <v>18</v>
      </c>
      <c r="N31" s="4" t="s">
        <v>21</v>
      </c>
      <c r="O31" s="13">
        <v>0</v>
      </c>
      <c r="P31" s="13">
        <v>0.1</v>
      </c>
      <c r="Q31" s="64">
        <f t="shared" si="5"/>
        <v>6231</v>
      </c>
      <c r="R31" s="75">
        <f t="shared" si="6"/>
        <v>33.776375000000002</v>
      </c>
      <c r="S31" s="71">
        <v>186</v>
      </c>
      <c r="T31" s="20">
        <v>1.0082500000000001</v>
      </c>
      <c r="U31" s="17">
        <v>17</v>
      </c>
      <c r="V31" s="13">
        <f>(17+66*0.05+0.6*5)/17</f>
        <v>1.3705882352941177</v>
      </c>
      <c r="W31" s="19">
        <f>S31*17</f>
        <v>3162</v>
      </c>
      <c r="X31" s="20">
        <f>T31*17</f>
        <v>17.140250000000002</v>
      </c>
      <c r="Y31" s="17">
        <v>1</v>
      </c>
      <c r="Z31" s="13">
        <v>0.6</v>
      </c>
      <c r="AA31" s="19"/>
      <c r="AB31" s="20"/>
      <c r="AC31" s="17"/>
      <c r="AD31" s="13"/>
      <c r="AE31" s="19"/>
      <c r="AF31" s="20"/>
      <c r="AG31" s="13"/>
      <c r="AH31" s="19"/>
      <c r="AI31" s="20"/>
      <c r="AJ31" s="13"/>
      <c r="AK31" s="19"/>
      <c r="AL31" s="20"/>
      <c r="AM31" s="44"/>
    </row>
    <row r="32" spans="2:39" ht="15.95" customHeight="1" x14ac:dyDescent="0.25">
      <c r="B32" s="3">
        <f t="shared" si="0"/>
        <v>58296.313399999999</v>
      </c>
      <c r="C32" s="81">
        <f t="shared" si="1"/>
        <v>1.2000000000000002</v>
      </c>
      <c r="D32" s="82">
        <f t="shared" si="7"/>
        <v>0.4</v>
      </c>
      <c r="E32" s="43" t="s">
        <v>45</v>
      </c>
      <c r="F32" s="23">
        <v>131</v>
      </c>
      <c r="G32" s="4">
        <v>30</v>
      </c>
      <c r="H32" s="18">
        <f t="shared" si="3"/>
        <v>932.74101440000027</v>
      </c>
      <c r="I32" s="18">
        <f t="shared" si="4"/>
        <v>1119.2892172800002</v>
      </c>
      <c r="J32" s="4" t="s">
        <v>40</v>
      </c>
      <c r="K32" s="4"/>
      <c r="L32" s="4" t="s">
        <v>24</v>
      </c>
      <c r="M32" s="4" t="s">
        <v>18</v>
      </c>
      <c r="N32" s="4"/>
      <c r="O32" s="13">
        <v>0</v>
      </c>
      <c r="P32" s="13">
        <v>0</v>
      </c>
      <c r="Q32" s="64">
        <f t="shared" si="5"/>
        <v>4936.49</v>
      </c>
      <c r="R32" s="75">
        <f t="shared" si="6"/>
        <v>26.679911700000002</v>
      </c>
      <c r="S32" s="71">
        <v>587</v>
      </c>
      <c r="T32" s="20">
        <v>3.1575500000000001</v>
      </c>
      <c r="U32" s="17">
        <v>1</v>
      </c>
      <c r="V32" s="13">
        <f>1.3*1.3</f>
        <v>1.6900000000000002</v>
      </c>
      <c r="W32" s="19">
        <v>875</v>
      </c>
      <c r="X32" s="20">
        <v>4.7359099999999996</v>
      </c>
      <c r="Y32" s="17">
        <v>1</v>
      </c>
      <c r="Z32" s="13">
        <f>1.3*1.3</f>
        <v>1.6900000000000002</v>
      </c>
      <c r="AA32" s="19">
        <v>1459</v>
      </c>
      <c r="AB32" s="20">
        <v>7.8934699999999998</v>
      </c>
      <c r="AC32" s="17">
        <v>1</v>
      </c>
      <c r="AD32" s="13">
        <f>1.3*1.3</f>
        <v>1.6900000000000002</v>
      </c>
      <c r="AE32" s="19"/>
      <c r="AF32" s="20"/>
      <c r="AG32" s="13"/>
      <c r="AH32" s="19"/>
      <c r="AI32" s="20"/>
      <c r="AJ32" s="13"/>
      <c r="AK32" s="19"/>
      <c r="AL32" s="20"/>
      <c r="AM32" s="44"/>
    </row>
    <row r="33" spans="2:39" ht="15.95" customHeight="1" thickBot="1" x14ac:dyDescent="0.3">
      <c r="B33" s="3">
        <f t="shared" si="0"/>
        <v>65543.917999999991</v>
      </c>
      <c r="C33" s="81">
        <f t="shared" si="1"/>
        <v>1.2000000000000002</v>
      </c>
      <c r="D33" s="82">
        <f t="shared" si="7"/>
        <v>0.4</v>
      </c>
      <c r="E33" s="46" t="s">
        <v>45</v>
      </c>
      <c r="F33" s="28">
        <v>132</v>
      </c>
      <c r="G33" s="29">
        <v>30</v>
      </c>
      <c r="H33" s="30">
        <f t="shared" si="3"/>
        <v>1048.7026880000001</v>
      </c>
      <c r="I33" s="30">
        <f t="shared" si="4"/>
        <v>1258.4432256</v>
      </c>
      <c r="J33" s="29" t="s">
        <v>40</v>
      </c>
      <c r="K33" s="29"/>
      <c r="L33" s="29" t="s">
        <v>24</v>
      </c>
      <c r="M33" s="29" t="s">
        <v>18</v>
      </c>
      <c r="N33" s="29"/>
      <c r="O33" s="31">
        <v>0</v>
      </c>
      <c r="P33" s="31">
        <v>0</v>
      </c>
      <c r="Q33" s="65">
        <f t="shared" si="5"/>
        <v>5549.9</v>
      </c>
      <c r="R33" s="76">
        <f t="shared" si="6"/>
        <v>29.997008999999998</v>
      </c>
      <c r="S33" s="71">
        <v>587</v>
      </c>
      <c r="T33" s="20">
        <v>3.1575500000000001</v>
      </c>
      <c r="U33" s="17">
        <v>1</v>
      </c>
      <c r="V33" s="13">
        <v>1.3</v>
      </c>
      <c r="W33" s="19">
        <v>875</v>
      </c>
      <c r="X33" s="20">
        <v>4.7359099999999996</v>
      </c>
      <c r="Y33" s="17">
        <v>1</v>
      </c>
      <c r="Z33" s="13">
        <v>1.3</v>
      </c>
      <c r="AA33" s="19">
        <v>1459</v>
      </c>
      <c r="AB33" s="20">
        <v>7.8934699999999998</v>
      </c>
      <c r="AC33" s="17">
        <v>1</v>
      </c>
      <c r="AD33" s="13">
        <v>1.3</v>
      </c>
      <c r="AE33" s="19">
        <v>2921</v>
      </c>
      <c r="AF33" s="20">
        <v>15.79</v>
      </c>
      <c r="AG33" s="13">
        <v>0.6</v>
      </c>
      <c r="AH33" s="19"/>
      <c r="AI33" s="20"/>
      <c r="AJ33" s="13"/>
      <c r="AK33" s="19"/>
      <c r="AL33" s="20"/>
      <c r="AM33" s="44"/>
    </row>
    <row r="34" spans="2:39" ht="15.95" customHeight="1" thickTop="1" x14ac:dyDescent="0.25">
      <c r="B34" s="3">
        <f t="shared" si="0"/>
        <v>134087.12</v>
      </c>
      <c r="C34" s="81">
        <f t="shared" si="1"/>
        <v>1.2000000000000002</v>
      </c>
      <c r="D34" s="82">
        <f>(1+$O$2)*(1+$O$3)*(1-$F$3)*(1+$Q$3)</f>
        <v>0.4</v>
      </c>
      <c r="E34" s="47" t="s">
        <v>46</v>
      </c>
      <c r="F34" s="24" t="s">
        <v>0</v>
      </c>
      <c r="G34" s="25">
        <v>300</v>
      </c>
      <c r="H34" s="26">
        <f t="shared" si="3"/>
        <v>214.53939200000002</v>
      </c>
      <c r="I34" s="26">
        <f t="shared" si="4"/>
        <v>214.53939200000002</v>
      </c>
      <c r="J34" s="25"/>
      <c r="K34" s="25"/>
      <c r="L34" s="25" t="s">
        <v>42</v>
      </c>
      <c r="M34" s="25"/>
      <c r="N34" s="25" t="s">
        <v>60</v>
      </c>
      <c r="O34" s="27">
        <v>0</v>
      </c>
      <c r="P34" s="27">
        <v>0</v>
      </c>
      <c r="Q34" s="67">
        <f t="shared" si="5"/>
        <v>11361</v>
      </c>
      <c r="R34" s="78">
        <f t="shared" si="6"/>
        <v>61.363059999999997</v>
      </c>
      <c r="S34" s="70">
        <v>7360</v>
      </c>
      <c r="T34" s="16">
        <v>39.695909999999998</v>
      </c>
      <c r="U34" s="17">
        <v>1</v>
      </c>
      <c r="V34" s="13">
        <v>1</v>
      </c>
      <c r="W34" s="19">
        <v>4001</v>
      </c>
      <c r="X34" s="20">
        <v>21.667149999999999</v>
      </c>
      <c r="Y34" s="17">
        <v>1</v>
      </c>
      <c r="Z34" s="13">
        <v>1</v>
      </c>
      <c r="AA34" s="19"/>
      <c r="AB34" s="20"/>
      <c r="AC34" s="17"/>
      <c r="AD34" s="13"/>
      <c r="AE34" s="4"/>
      <c r="AF34" s="11"/>
      <c r="AG34" s="10"/>
      <c r="AH34" s="4"/>
      <c r="AI34" s="11"/>
      <c r="AJ34" s="13"/>
      <c r="AK34" s="19">
        <v>2844</v>
      </c>
      <c r="AL34" s="20">
        <v>15.3973</v>
      </c>
      <c r="AM34" s="44">
        <v>0</v>
      </c>
    </row>
    <row r="35" spans="2:39" ht="15.95" customHeight="1" thickBot="1" x14ac:dyDescent="0.3">
      <c r="B35" s="3">
        <f t="shared" si="0"/>
        <v>98373.58</v>
      </c>
      <c r="C35" s="81">
        <f t="shared" si="1"/>
        <v>1.2000000000000002</v>
      </c>
      <c r="D35" s="82">
        <f>(1+$O$2)*(1+$O$3)*(1-$F$3)*(1+$Q$3)</f>
        <v>0.4</v>
      </c>
      <c r="E35" s="48" t="s">
        <v>47</v>
      </c>
      <c r="F35" s="49" t="s">
        <v>0</v>
      </c>
      <c r="G35" s="50">
        <v>300</v>
      </c>
      <c r="H35" s="51">
        <f t="shared" si="3"/>
        <v>157.39772800000003</v>
      </c>
      <c r="I35" s="51">
        <f t="shared" si="4"/>
        <v>157.39772800000003</v>
      </c>
      <c r="J35" s="50"/>
      <c r="K35" s="50"/>
      <c r="L35" s="50" t="s">
        <v>30</v>
      </c>
      <c r="M35" s="50"/>
      <c r="N35" s="50" t="s">
        <v>60</v>
      </c>
      <c r="O35" s="52">
        <v>0</v>
      </c>
      <c r="P35" s="52">
        <v>0</v>
      </c>
      <c r="Q35" s="68">
        <f t="shared" si="5"/>
        <v>8322</v>
      </c>
      <c r="R35" s="79">
        <f t="shared" si="6"/>
        <v>45.025790000000001</v>
      </c>
      <c r="S35" s="72">
        <v>4995</v>
      </c>
      <c r="T35" s="54">
        <v>27.014510000000001</v>
      </c>
      <c r="U35" s="55">
        <v>1</v>
      </c>
      <c r="V35" s="52">
        <v>1</v>
      </c>
      <c r="W35" s="53">
        <v>3327</v>
      </c>
      <c r="X35" s="54">
        <v>18.011279999999999</v>
      </c>
      <c r="Y35" s="55">
        <v>1</v>
      </c>
      <c r="Z35" s="52">
        <v>1</v>
      </c>
      <c r="AA35" s="50"/>
      <c r="AB35" s="56"/>
      <c r="AC35" s="57"/>
      <c r="AD35" s="58"/>
      <c r="AE35" s="50"/>
      <c r="AF35" s="56"/>
      <c r="AG35" s="58"/>
      <c r="AH35" s="50"/>
      <c r="AI35" s="56"/>
      <c r="AJ35" s="52"/>
      <c r="AK35" s="50"/>
      <c r="AL35" s="56"/>
      <c r="AM35" s="59"/>
    </row>
    <row r="37" spans="2:39" ht="15.95" customHeight="1" x14ac:dyDescent="0.25">
      <c r="K37" s="1" t="s">
        <v>62</v>
      </c>
    </row>
    <row r="38" spans="2:39" ht="15.95" customHeight="1" x14ac:dyDescent="0.25">
      <c r="K38" s="1" t="s">
        <v>63</v>
      </c>
    </row>
    <row r="39" spans="2:39" ht="15.95" customHeight="1" x14ac:dyDescent="0.25">
      <c r="K39" s="1" t="s">
        <v>64</v>
      </c>
    </row>
    <row r="40" spans="2:39" ht="15.95" customHeight="1" x14ac:dyDescent="0.25">
      <c r="K40" s="1" t="s">
        <v>65</v>
      </c>
    </row>
    <row r="41" spans="2:39" ht="15.95" customHeight="1" x14ac:dyDescent="0.25">
      <c r="K41" s="1" t="s">
        <v>66</v>
      </c>
    </row>
  </sheetData>
  <sheetProtection selectLockedCells="1"/>
  <phoneticPr fontId="2" type="noConversion"/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스킬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2019-03-19T15:53:44Z</dcterms:modified>
</cp:coreProperties>
</file>