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90" activeTab="1"/>
  </bookViews>
  <sheets>
    <sheet name="Sheet1" sheetId="1" r:id="rId1"/>
    <sheet name="Sheet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B28" i="2"/>
  <c r="W6" i="1"/>
  <c r="X6" i="1"/>
  <c r="Y6" i="1"/>
  <c r="Z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C6" i="1"/>
  <c r="B6" i="1"/>
  <c r="H3" i="2"/>
  <c r="S2" i="1"/>
  <c r="B3" i="1" s="1"/>
  <c r="B25" i="2" s="1"/>
  <c r="B4" i="2" s="1"/>
  <c r="R2" i="1"/>
  <c r="B7" i="1" l="1"/>
  <c r="Q10" i="2"/>
  <c r="Q6" i="2"/>
  <c r="Q7" i="2"/>
  <c r="Q8" i="2"/>
  <c r="N8" i="2"/>
  <c r="M8" i="2"/>
  <c r="L8" i="2"/>
  <c r="K8" i="2"/>
  <c r="J8" i="2"/>
  <c r="I8" i="2"/>
  <c r="P10" i="2"/>
  <c r="P8" i="2"/>
  <c r="P7" i="2"/>
  <c r="P6" i="2"/>
  <c r="O10" i="2"/>
  <c r="O8" i="2"/>
  <c r="O7" i="2"/>
  <c r="O6" i="2"/>
  <c r="O3" i="2"/>
  <c r="O4" i="2"/>
  <c r="P4" i="2" l="1"/>
  <c r="Q4" i="2"/>
  <c r="K3" i="2"/>
  <c r="N10" i="2"/>
  <c r="N7" i="2"/>
  <c r="N3" i="2"/>
  <c r="M10" i="2"/>
  <c r="M7" i="2"/>
  <c r="M3" i="2"/>
  <c r="L3" i="2"/>
  <c r="G3" i="2"/>
  <c r="L10" i="2"/>
  <c r="L7" i="2"/>
  <c r="I7" i="2" l="1"/>
  <c r="H7" i="2"/>
  <c r="K10" i="2" l="1"/>
  <c r="K7" i="2"/>
  <c r="J7" i="2"/>
  <c r="J10" i="2"/>
  <c r="I10" i="2"/>
  <c r="I3" i="2"/>
  <c r="H10" i="2" l="1"/>
  <c r="H8" i="2"/>
  <c r="G7" i="2"/>
  <c r="G10" i="2"/>
  <c r="G8" i="2"/>
  <c r="F10" i="2"/>
  <c r="E10" i="2"/>
  <c r="D10" i="2"/>
  <c r="C10" i="2"/>
  <c r="B10" i="2"/>
  <c r="F7" i="2"/>
  <c r="F8" i="2"/>
  <c r="E8" i="2"/>
  <c r="D8" i="2"/>
  <c r="C8" i="2"/>
  <c r="B8" i="2"/>
  <c r="F3" i="2"/>
  <c r="N6" i="2" l="1"/>
  <c r="L6" i="2"/>
  <c r="C6" i="2"/>
  <c r="M6" i="2"/>
  <c r="K6" i="2"/>
  <c r="J6" i="2"/>
  <c r="I6" i="2"/>
  <c r="G6" i="2"/>
  <c r="D6" i="2"/>
  <c r="B6" i="2"/>
  <c r="F6" i="2"/>
  <c r="H6" i="2"/>
  <c r="E6" i="2"/>
  <c r="E3" i="2"/>
  <c r="E7" i="2" l="1"/>
  <c r="D3" i="2"/>
  <c r="D7" i="2"/>
  <c r="C7" i="2"/>
  <c r="B7" i="2"/>
  <c r="C3" i="2"/>
  <c r="B3" i="2"/>
  <c r="D24" i="2" l="1"/>
  <c r="Q5" i="2" l="1"/>
  <c r="Q14" i="2" s="1"/>
  <c r="O5" i="2"/>
  <c r="O14" i="2" s="1"/>
  <c r="P5" i="2"/>
  <c r="P14" i="2" s="1"/>
  <c r="N4" i="2"/>
  <c r="L4" i="2"/>
  <c r="M4" i="2"/>
  <c r="I4" i="2"/>
  <c r="J4" i="2"/>
  <c r="G4" i="2"/>
  <c r="K4" i="2"/>
  <c r="N5" i="2"/>
  <c r="M5" i="2"/>
  <c r="L5" i="2"/>
  <c r="J5" i="2"/>
  <c r="I5" i="2"/>
  <c r="K5" i="2"/>
  <c r="H4" i="2"/>
  <c r="F4" i="2"/>
  <c r="E4" i="2"/>
  <c r="D4" i="2"/>
  <c r="H5" i="2"/>
  <c r="C5" i="2"/>
  <c r="D5" i="2"/>
  <c r="B5" i="2"/>
  <c r="E5" i="2"/>
  <c r="G5" i="2"/>
  <c r="F5" i="2"/>
  <c r="C4" i="2"/>
  <c r="K14" i="2" l="1"/>
  <c r="M14" i="2"/>
  <c r="E14" i="2"/>
  <c r="C14" i="2"/>
  <c r="H14" i="2"/>
  <c r="G14" i="2"/>
  <c r="L14" i="2"/>
  <c r="I14" i="2"/>
  <c r="F14" i="2"/>
  <c r="D14" i="2"/>
  <c r="J14" i="2"/>
  <c r="N14" i="2"/>
</calcChain>
</file>

<file path=xl/comments1.xml><?xml version="1.0" encoding="utf-8"?>
<comments xmlns="http://schemas.openxmlformats.org/spreadsheetml/2006/main">
  <authors>
    <author>덕산</author>
  </authors>
  <commentList>
    <comment ref="A25" authorId="0">
      <text>
        <r>
          <rPr>
            <b/>
            <sz val="9"/>
            <color indexed="81"/>
            <rFont val="돋움"/>
            <family val="3"/>
            <charset val="129"/>
          </rPr>
          <t>직업스킬제외</t>
        </r>
      </text>
    </comment>
  </commentList>
</comments>
</file>

<file path=xl/sharedStrings.xml><?xml version="1.0" encoding="utf-8"?>
<sst xmlns="http://schemas.openxmlformats.org/spreadsheetml/2006/main" count="125" uniqueCount="118">
  <si>
    <t>무기상수</t>
    <phoneticPr fontId="1" type="noConversion"/>
  </si>
  <si>
    <t>최종뎀</t>
    <phoneticPr fontId="1" type="noConversion"/>
  </si>
  <si>
    <t>보뎀</t>
    <phoneticPr fontId="1" type="noConversion"/>
  </si>
  <si>
    <t>공마퍼</t>
    <phoneticPr fontId="1" type="noConversion"/>
  </si>
  <si>
    <t>방무</t>
    <phoneticPr fontId="1" type="noConversion"/>
  </si>
  <si>
    <t>공마</t>
    <phoneticPr fontId="1" type="noConversion"/>
  </si>
  <si>
    <t>부스텟</t>
    <phoneticPr fontId="1" type="noConversion"/>
  </si>
  <si>
    <t>무기</t>
    <phoneticPr fontId="1" type="noConversion"/>
  </si>
  <si>
    <t>보조</t>
    <phoneticPr fontId="1" type="noConversion"/>
  </si>
  <si>
    <t>엠블</t>
    <phoneticPr fontId="1" type="noConversion"/>
  </si>
  <si>
    <t>보공</t>
    <phoneticPr fontId="1" type="noConversion"/>
  </si>
  <si>
    <t>방무</t>
    <phoneticPr fontId="1" type="noConversion"/>
  </si>
  <si>
    <t>공퍼</t>
    <phoneticPr fontId="1" type="noConversion"/>
  </si>
  <si>
    <t>에디공퍼합</t>
    <phoneticPr fontId="1" type="noConversion"/>
  </si>
  <si>
    <t>크뎀</t>
    <phoneticPr fontId="1" type="noConversion"/>
  </si>
  <si>
    <t>윗잠</t>
    <phoneticPr fontId="1" type="noConversion"/>
  </si>
  <si>
    <t>주력기퍼뎀</t>
    <phoneticPr fontId="1" type="noConversion"/>
  </si>
  <si>
    <t>한줄뎀</t>
    <phoneticPr fontId="1" type="noConversion"/>
  </si>
  <si>
    <t>직업</t>
    <phoneticPr fontId="1" type="noConversion"/>
  </si>
  <si>
    <t>히어로</t>
    <phoneticPr fontId="1" type="noConversion"/>
  </si>
  <si>
    <t>메르</t>
    <phoneticPr fontId="1" type="noConversion"/>
  </si>
  <si>
    <t>루미</t>
    <phoneticPr fontId="1" type="noConversion"/>
  </si>
  <si>
    <t>스텟퍼</t>
    <phoneticPr fontId="1" type="noConversion"/>
  </si>
  <si>
    <t>공마합</t>
    <phoneticPr fontId="1" type="noConversion"/>
  </si>
  <si>
    <t>비고</t>
    <phoneticPr fontId="1" type="noConversion"/>
  </si>
  <si>
    <t>패닉+인사</t>
    <phoneticPr fontId="1" type="noConversion"/>
  </si>
  <si>
    <t>소마</t>
    <phoneticPr fontId="1" type="noConversion"/>
  </si>
  <si>
    <t>주스텟</t>
    <phoneticPr fontId="1" type="noConversion"/>
  </si>
  <si>
    <t>트루o, 트루-이그노어가드x</t>
    <phoneticPr fontId="1" type="noConversion"/>
  </si>
  <si>
    <t>팬텀</t>
    <phoneticPr fontId="1" type="noConversion"/>
  </si>
  <si>
    <t>공퍼총합</t>
    <phoneticPr fontId="1" type="noConversion"/>
  </si>
  <si>
    <t>방무합</t>
    <phoneticPr fontId="1" type="noConversion"/>
  </si>
  <si>
    <t>크뎀합</t>
    <phoneticPr fontId="1" type="noConversion"/>
  </si>
  <si>
    <t>주력기명</t>
    <phoneticPr fontId="1" type="noConversion"/>
  </si>
  <si>
    <t>레블</t>
    <phoneticPr fontId="1" type="noConversion"/>
  </si>
  <si>
    <t>이슈</t>
    <phoneticPr fontId="1" type="noConversion"/>
  </si>
  <si>
    <t>앱킬</t>
    <phoneticPr fontId="1" type="noConversion"/>
  </si>
  <si>
    <t>폴짝</t>
    <phoneticPr fontId="1" type="noConversion"/>
  </si>
  <si>
    <t>얼티</t>
    <phoneticPr fontId="1" type="noConversion"/>
  </si>
  <si>
    <t>불독</t>
    <phoneticPr fontId="1" type="noConversion"/>
  </si>
  <si>
    <t>레투다30, 분노 크오체 파컷</t>
    <phoneticPr fontId="1" type="noConversion"/>
  </si>
  <si>
    <t>10스택+유니콘+스피어, 유니온 방무18</t>
    <phoneticPr fontId="1" type="noConversion"/>
  </si>
  <si>
    <t>블레스 3중첩,오버마나30, 유니온 방무 19</t>
    <phoneticPr fontId="1" type="noConversion"/>
  </si>
  <si>
    <t>페럴</t>
    <phoneticPr fontId="1" type="noConversion"/>
  </si>
  <si>
    <t>엔버</t>
    <phoneticPr fontId="1" type="noConversion"/>
  </si>
  <si>
    <t>트리</t>
    <phoneticPr fontId="1" type="noConversion"/>
  </si>
  <si>
    <t>리셋</t>
    <phoneticPr fontId="1" type="noConversion"/>
  </si>
  <si>
    <t>메카닉</t>
    <phoneticPr fontId="1" type="noConversion"/>
  </si>
  <si>
    <t>매시브</t>
    <phoneticPr fontId="1" type="noConversion"/>
  </si>
  <si>
    <t>나로</t>
    <phoneticPr fontId="1" type="noConversion"/>
  </si>
  <si>
    <t>쿼드</t>
    <phoneticPr fontId="1" type="noConversion"/>
  </si>
  <si>
    <t>레투다 30, 퍼지하이퍼 2개</t>
    <phoneticPr fontId="1" type="noConversion"/>
  </si>
  <si>
    <t>비숍</t>
    <phoneticPr fontId="1" type="noConversion"/>
  </si>
  <si>
    <t>엔레</t>
    <phoneticPr fontId="1" type="noConversion"/>
  </si>
  <si>
    <t>로봇4중첩, 다이스5, 로디드30렙</t>
    <phoneticPr fontId="1" type="noConversion"/>
  </si>
  <si>
    <t>썬콜</t>
    <phoneticPr fontId="1" type="noConversion"/>
  </si>
  <si>
    <t>체라</t>
    <phoneticPr fontId="1" type="noConversion"/>
  </si>
  <si>
    <t>퍼번트5, 에임5, 인피x, 유니온 보공19, 오버30</t>
    <phoneticPr fontId="1" type="noConversion"/>
  </si>
  <si>
    <t>빙결5, 에임5, 인피x, 유니온 보공19, 오버30</t>
    <phoneticPr fontId="1" type="noConversion"/>
  </si>
  <si>
    <t>신궁</t>
    <phoneticPr fontId="1" type="noConversion"/>
  </si>
  <si>
    <t>스나</t>
    <phoneticPr fontId="1" type="noConversion"/>
  </si>
  <si>
    <t>모탈블로우on, 유니온방무18, 거리 398, 라스트맨o</t>
    <phoneticPr fontId="1" type="noConversion"/>
  </si>
  <si>
    <t>보마</t>
    <phoneticPr fontId="1" type="noConversion"/>
  </si>
  <si>
    <t>폭시</t>
    <phoneticPr fontId="1" type="noConversion"/>
  </si>
  <si>
    <t>모탈블로우on, 유니온방무18, 마법화살, 아머피어싱on</t>
    <phoneticPr fontId="1" type="noConversion"/>
  </si>
  <si>
    <t>주스텟</t>
    <phoneticPr fontId="1" type="noConversion"/>
  </si>
  <si>
    <t>1인팟, 에임5, 바하x, 빅뱅x, 인피x, 유니온보공19, 오버마나30</t>
    <phoneticPr fontId="1" type="noConversion"/>
  </si>
  <si>
    <t>팔라딘</t>
    <phoneticPr fontId="1" type="noConversion"/>
  </si>
  <si>
    <t>블래</t>
    <phoneticPr fontId="1" type="noConversion"/>
  </si>
  <si>
    <t>두손검</t>
    <phoneticPr fontId="1" type="noConversion"/>
  </si>
  <si>
    <t>윈브</t>
    <phoneticPr fontId="1" type="noConversion"/>
  </si>
  <si>
    <t>레벨</t>
    <phoneticPr fontId="1" type="noConversion"/>
  </si>
  <si>
    <t>천노</t>
    <phoneticPr fontId="1" type="noConversion"/>
  </si>
  <si>
    <t>천노 1타겟, 방무+30 보공-30</t>
    <phoneticPr fontId="1" type="noConversion"/>
  </si>
  <si>
    <t>와헌</t>
    <phoneticPr fontId="1" type="noConversion"/>
  </si>
  <si>
    <t>발칸</t>
    <phoneticPr fontId="1" type="noConversion"/>
  </si>
  <si>
    <t>보뎀</t>
    <phoneticPr fontId="1" type="noConversion"/>
  </si>
  <si>
    <t>하이퍼</t>
    <phoneticPr fontId="1" type="noConversion"/>
  </si>
  <si>
    <t>데슬링크</t>
    <phoneticPr fontId="1" type="noConversion"/>
  </si>
  <si>
    <t>카데나</t>
    <phoneticPr fontId="1" type="noConversion"/>
  </si>
  <si>
    <t>아크</t>
    <phoneticPr fontId="1" type="noConversion"/>
  </si>
  <si>
    <t>모법</t>
    <phoneticPr fontId="1" type="noConversion"/>
  </si>
  <si>
    <t>모도</t>
    <phoneticPr fontId="1" type="noConversion"/>
  </si>
  <si>
    <t>데벤</t>
    <phoneticPr fontId="1" type="noConversion"/>
  </si>
  <si>
    <t>일리움</t>
    <phoneticPr fontId="1" type="noConversion"/>
  </si>
  <si>
    <t>4카</t>
    <phoneticPr fontId="1" type="noConversion"/>
  </si>
  <si>
    <t>5앱</t>
    <phoneticPr fontId="1" type="noConversion"/>
  </si>
  <si>
    <t>5케인</t>
    <phoneticPr fontId="1" type="noConversion"/>
  </si>
  <si>
    <t>무기기본</t>
    <phoneticPr fontId="1" type="noConversion"/>
  </si>
  <si>
    <t>칭호</t>
    <phoneticPr fontId="1" type="noConversion"/>
  </si>
  <si>
    <t>몬라</t>
    <phoneticPr fontId="1" type="noConversion"/>
  </si>
  <si>
    <t>보뎀합</t>
    <phoneticPr fontId="1" type="noConversion"/>
  </si>
  <si>
    <t>무보잠재</t>
    <phoneticPr fontId="1" type="noConversion"/>
  </si>
  <si>
    <t>마약</t>
    <phoneticPr fontId="1" type="noConversion"/>
  </si>
  <si>
    <t>로디드30</t>
    <phoneticPr fontId="1" type="noConversion"/>
  </si>
  <si>
    <t>훈장</t>
    <phoneticPr fontId="1" type="noConversion"/>
  </si>
  <si>
    <t>루미</t>
    <phoneticPr fontId="1" type="noConversion"/>
  </si>
  <si>
    <t>모자</t>
    <phoneticPr fontId="1" type="noConversion"/>
  </si>
  <si>
    <t>상의</t>
    <phoneticPr fontId="1" type="noConversion"/>
  </si>
  <si>
    <t>하의</t>
    <phoneticPr fontId="1" type="noConversion"/>
  </si>
  <si>
    <t>4앱</t>
    <phoneticPr fontId="1" type="noConversion"/>
  </si>
  <si>
    <t>7보장</t>
    <phoneticPr fontId="1" type="noConversion"/>
  </si>
  <si>
    <t>9보장</t>
    <phoneticPr fontId="1" type="noConversion"/>
  </si>
  <si>
    <t>무</t>
    <phoneticPr fontId="1" type="noConversion"/>
  </si>
  <si>
    <t>보</t>
    <phoneticPr fontId="1" type="noConversion"/>
  </si>
  <si>
    <t>엠</t>
    <phoneticPr fontId="1" type="noConversion"/>
  </si>
  <si>
    <t>블래</t>
    <phoneticPr fontId="1" type="noConversion"/>
  </si>
  <si>
    <t>뱃지</t>
    <phoneticPr fontId="1" type="noConversion"/>
  </si>
  <si>
    <t>카리스마</t>
    <phoneticPr fontId="1" type="noConversion"/>
  </si>
  <si>
    <t>제로</t>
    <phoneticPr fontId="1" type="noConversion"/>
  </si>
  <si>
    <t>호영</t>
    <phoneticPr fontId="1" type="noConversion"/>
  </si>
  <si>
    <t>방무합</t>
    <phoneticPr fontId="1" type="noConversion"/>
  </si>
  <si>
    <t>방무</t>
    <phoneticPr fontId="1" type="noConversion"/>
  </si>
  <si>
    <t>방무%</t>
    <phoneticPr fontId="1" type="noConversion"/>
  </si>
  <si>
    <t>보뎀합</t>
    <phoneticPr fontId="1" type="noConversion"/>
  </si>
  <si>
    <t>와헌</t>
    <phoneticPr fontId="1" type="noConversion"/>
  </si>
  <si>
    <t>뎀</t>
    <phoneticPr fontId="1" type="noConversion"/>
  </si>
  <si>
    <t>하이퍼보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</si>
</sst>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selection activeCell="D3" sqref="D3"/>
    </sheetView>
  </sheetViews>
  <sheetFormatPr defaultRowHeight="16.5" x14ac:dyDescent="0.3"/>
  <sheetData>
    <row r="1" spans="1:26" x14ac:dyDescent="0.3"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117</v>
      </c>
      <c r="J1" t="s">
        <v>116</v>
      </c>
      <c r="K1" t="s">
        <v>85</v>
      </c>
      <c r="L1" t="s">
        <v>86</v>
      </c>
      <c r="M1" t="s">
        <v>87</v>
      </c>
      <c r="N1" t="s">
        <v>88</v>
      </c>
      <c r="O1" t="s">
        <v>89</v>
      </c>
      <c r="P1" t="s">
        <v>83</v>
      </c>
      <c r="Q1" t="s">
        <v>115</v>
      </c>
      <c r="R1" t="s">
        <v>90</v>
      </c>
      <c r="S1" t="s">
        <v>92</v>
      </c>
      <c r="T1" t="s">
        <v>95</v>
      </c>
      <c r="U1" t="s">
        <v>102</v>
      </c>
      <c r="V1" t="s">
        <v>93</v>
      </c>
    </row>
    <row r="2" spans="1:26" x14ac:dyDescent="0.3">
      <c r="A2" t="s">
        <v>76</v>
      </c>
      <c r="B2">
        <v>15</v>
      </c>
      <c r="C2">
        <v>12</v>
      </c>
      <c r="D2">
        <v>11</v>
      </c>
      <c r="E2">
        <v>9</v>
      </c>
      <c r="F2">
        <v>18</v>
      </c>
      <c r="G2">
        <v>10</v>
      </c>
      <c r="H2">
        <v>0</v>
      </c>
      <c r="I2">
        <v>39</v>
      </c>
      <c r="J2">
        <v>33</v>
      </c>
      <c r="K2">
        <v>0</v>
      </c>
      <c r="L2">
        <v>30</v>
      </c>
      <c r="M2">
        <v>0</v>
      </c>
      <c r="N2">
        <v>30</v>
      </c>
      <c r="O2">
        <v>5</v>
      </c>
      <c r="P2">
        <v>5</v>
      </c>
      <c r="Q2">
        <v>16</v>
      </c>
      <c r="R2">
        <f>5+4+3+2+1+3</f>
        <v>18</v>
      </c>
      <c r="S2">
        <f>SUM(Sheet2!B20:C20)</f>
        <v>150</v>
      </c>
      <c r="T2">
        <v>5</v>
      </c>
      <c r="U2">
        <v>0</v>
      </c>
      <c r="V2">
        <v>0</v>
      </c>
    </row>
    <row r="3" spans="1:26" x14ac:dyDescent="0.3">
      <c r="A3" t="s">
        <v>91</v>
      </c>
      <c r="B3">
        <f>SUM(2:2)</f>
        <v>406</v>
      </c>
    </row>
    <row r="4" spans="1:26" x14ac:dyDescent="0.3">
      <c r="B4" t="s">
        <v>96</v>
      </c>
      <c r="C4" t="s">
        <v>81</v>
      </c>
      <c r="D4" t="s">
        <v>109</v>
      </c>
      <c r="E4" t="s">
        <v>110</v>
      </c>
      <c r="F4" t="s">
        <v>97</v>
      </c>
      <c r="G4" t="s">
        <v>98</v>
      </c>
      <c r="H4" t="s">
        <v>99</v>
      </c>
      <c r="I4" t="s">
        <v>88</v>
      </c>
      <c r="J4" t="s">
        <v>100</v>
      </c>
      <c r="K4" t="s">
        <v>101</v>
      </c>
      <c r="L4" t="s">
        <v>103</v>
      </c>
      <c r="M4" t="s">
        <v>104</v>
      </c>
      <c r="N4" t="s">
        <v>105</v>
      </c>
      <c r="O4" t="s">
        <v>77</v>
      </c>
      <c r="P4" t="s">
        <v>89</v>
      </c>
      <c r="Q4" t="s">
        <v>106</v>
      </c>
      <c r="R4" t="s">
        <v>90</v>
      </c>
      <c r="S4" t="s">
        <v>95</v>
      </c>
      <c r="T4" t="s">
        <v>107</v>
      </c>
      <c r="U4" t="s">
        <v>108</v>
      </c>
      <c r="V4" t="s">
        <v>93</v>
      </c>
    </row>
    <row r="5" spans="1:26" x14ac:dyDescent="0.3">
      <c r="A5" t="s">
        <v>112</v>
      </c>
      <c r="B5">
        <v>15</v>
      </c>
      <c r="C5">
        <v>9</v>
      </c>
      <c r="D5">
        <v>0</v>
      </c>
      <c r="E5">
        <v>0</v>
      </c>
      <c r="F5">
        <v>10</v>
      </c>
      <c r="G5">
        <v>5</v>
      </c>
      <c r="H5">
        <v>5</v>
      </c>
      <c r="I5">
        <v>20</v>
      </c>
      <c r="J5">
        <v>10</v>
      </c>
      <c r="K5">
        <v>10</v>
      </c>
      <c r="L5">
        <v>0</v>
      </c>
      <c r="M5">
        <v>0</v>
      </c>
      <c r="N5">
        <v>30</v>
      </c>
      <c r="O5">
        <v>33</v>
      </c>
      <c r="P5">
        <v>5</v>
      </c>
      <c r="Q5">
        <v>5</v>
      </c>
      <c r="R5">
        <v>0</v>
      </c>
      <c r="S5">
        <v>0</v>
      </c>
      <c r="T5">
        <v>0</v>
      </c>
      <c r="U5">
        <v>10</v>
      </c>
      <c r="V5">
        <v>0</v>
      </c>
      <c r="W5">
        <v>0</v>
      </c>
      <c r="X5">
        <v>0</v>
      </c>
      <c r="Y5">
        <v>0</v>
      </c>
      <c r="Z5">
        <v>0</v>
      </c>
    </row>
    <row r="6" spans="1:26" x14ac:dyDescent="0.3">
      <c r="A6" t="s">
        <v>113</v>
      </c>
      <c r="B6">
        <f>B5/100</f>
        <v>0.15</v>
      </c>
      <c r="C6">
        <f>C5/100</f>
        <v>0.09</v>
      </c>
      <c r="D6">
        <f t="shared" ref="D6:V6" si="0">D5/100</f>
        <v>0</v>
      </c>
      <c r="E6">
        <f t="shared" si="0"/>
        <v>0</v>
      </c>
      <c r="F6">
        <f t="shared" si="0"/>
        <v>0.1</v>
      </c>
      <c r="G6">
        <f t="shared" si="0"/>
        <v>0.05</v>
      </c>
      <c r="H6">
        <f t="shared" si="0"/>
        <v>0.05</v>
      </c>
      <c r="I6">
        <f t="shared" si="0"/>
        <v>0.2</v>
      </c>
      <c r="J6">
        <f t="shared" si="0"/>
        <v>0.1</v>
      </c>
      <c r="K6">
        <f t="shared" si="0"/>
        <v>0.1</v>
      </c>
      <c r="L6">
        <f t="shared" si="0"/>
        <v>0</v>
      </c>
      <c r="M6">
        <f t="shared" si="0"/>
        <v>0</v>
      </c>
      <c r="N6">
        <f t="shared" si="0"/>
        <v>0.3</v>
      </c>
      <c r="O6">
        <f t="shared" si="0"/>
        <v>0.33</v>
      </c>
      <c r="P6">
        <f t="shared" si="0"/>
        <v>0.05</v>
      </c>
      <c r="Q6">
        <f t="shared" si="0"/>
        <v>0.05</v>
      </c>
      <c r="R6">
        <f t="shared" si="0"/>
        <v>0</v>
      </c>
      <c r="S6">
        <f t="shared" si="0"/>
        <v>0</v>
      </c>
      <c r="T6">
        <f t="shared" si="0"/>
        <v>0</v>
      </c>
      <c r="U6">
        <f t="shared" si="0"/>
        <v>0.1</v>
      </c>
      <c r="V6">
        <f t="shared" si="0"/>
        <v>0</v>
      </c>
      <c r="W6">
        <f>W5/100</f>
        <v>0</v>
      </c>
      <c r="X6">
        <f>X5/100</f>
        <v>0</v>
      </c>
      <c r="Y6">
        <f t="shared" ref="Y6" si="1">Y5/100</f>
        <v>0</v>
      </c>
      <c r="Z6">
        <f t="shared" ref="Z6" si="2">Z5/100</f>
        <v>0</v>
      </c>
    </row>
    <row r="7" spans="1:26" x14ac:dyDescent="0.3">
      <c r="A7" t="s">
        <v>111</v>
      </c>
      <c r="B7">
        <f>1-(1-B6)*(1-C6)*(1-D6)*(1-E6)*(1-F6)*(1-G6)*(1-H6)*(1-I6)*(1-J6)*(1-K6)*(1-L6)*(1-M6)*(1-N6)*(1-O6)*(1-P6)*(1-Q6)*(1-R6)*(1-S6)*(1-T6)*(1-U6)*(1-V6)</f>
        <v>0.84490863917075432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R3" sqref="R3"/>
    </sheetView>
  </sheetViews>
  <sheetFormatPr defaultRowHeight="16.5" x14ac:dyDescent="0.3"/>
  <cols>
    <col min="2" max="2" width="11" customWidth="1"/>
    <col min="3" max="3" width="9.875" customWidth="1"/>
    <col min="4" max="4" width="11.125" customWidth="1"/>
    <col min="5" max="5" width="9.625" customWidth="1"/>
    <col min="6" max="7" width="10.125" customWidth="1"/>
    <col min="8" max="8" width="11" customWidth="1"/>
    <col min="9" max="9" width="9.625" customWidth="1"/>
    <col min="10" max="10" width="10.625" customWidth="1"/>
    <col min="11" max="11" width="9.75" customWidth="1"/>
    <col min="12" max="12" width="10.25" customWidth="1"/>
    <col min="13" max="13" width="11.5" customWidth="1"/>
    <col min="14" max="14" width="11.125" customWidth="1"/>
    <col min="15" max="15" width="9.625" customWidth="1"/>
    <col min="16" max="16" width="11.25" customWidth="1"/>
    <col min="17" max="17" width="9.875" customWidth="1"/>
  </cols>
  <sheetData>
    <row r="1" spans="1:17" x14ac:dyDescent="0.3">
      <c r="A1" t="s">
        <v>18</v>
      </c>
      <c r="B1" t="s">
        <v>19</v>
      </c>
      <c r="C1" t="s">
        <v>20</v>
      </c>
      <c r="D1" t="s">
        <v>21</v>
      </c>
      <c r="E1" t="s">
        <v>26</v>
      </c>
      <c r="F1" t="s">
        <v>29</v>
      </c>
      <c r="G1" t="s">
        <v>39</v>
      </c>
      <c r="H1" t="s">
        <v>44</v>
      </c>
      <c r="I1" t="s">
        <v>47</v>
      </c>
      <c r="J1" t="s">
        <v>49</v>
      </c>
      <c r="K1" t="s">
        <v>52</v>
      </c>
      <c r="L1" t="s">
        <v>55</v>
      </c>
      <c r="M1" t="s">
        <v>59</v>
      </c>
      <c r="N1" t="s">
        <v>62</v>
      </c>
      <c r="O1" t="s">
        <v>67</v>
      </c>
      <c r="P1" t="s">
        <v>70</v>
      </c>
      <c r="Q1" t="s">
        <v>74</v>
      </c>
    </row>
    <row r="2" spans="1:17" x14ac:dyDescent="0.3">
      <c r="A2" t="s">
        <v>0</v>
      </c>
      <c r="B2">
        <v>1.44</v>
      </c>
      <c r="C2">
        <v>1.3</v>
      </c>
      <c r="D2">
        <v>1.2</v>
      </c>
      <c r="E2">
        <v>1.34</v>
      </c>
      <c r="F2">
        <v>1.3</v>
      </c>
      <c r="G2">
        <v>1.2</v>
      </c>
      <c r="H2">
        <v>1.7</v>
      </c>
      <c r="I2">
        <v>1.5</v>
      </c>
      <c r="J2">
        <v>1.75</v>
      </c>
      <c r="K2">
        <v>1.2</v>
      </c>
      <c r="L2">
        <v>1.2</v>
      </c>
      <c r="M2">
        <v>1.35</v>
      </c>
      <c r="N2">
        <v>1.3</v>
      </c>
      <c r="O2">
        <v>1.34</v>
      </c>
      <c r="P2">
        <v>1.3</v>
      </c>
      <c r="Q2">
        <v>1.35</v>
      </c>
    </row>
    <row r="3" spans="1:17" x14ac:dyDescent="0.3">
      <c r="A3" t="s">
        <v>1</v>
      </c>
      <c r="B3">
        <f>1.1*2.3*1.25*1.25</f>
        <v>3.9531249999999996</v>
      </c>
      <c r="C3">
        <f>1.15*1.2*1.21</f>
        <v>1.6697999999999997</v>
      </c>
      <c r="D3">
        <f>1.41*1.31*1.05*1.1</f>
        <v>2.1334005000000005</v>
      </c>
      <c r="E3">
        <f>1.25*0.9*1.05</f>
        <v>1.1812500000000001</v>
      </c>
      <c r="F3">
        <f>1.3*1.2*1.41*1.26</f>
        <v>2.771496</v>
      </c>
      <c r="G3">
        <f>1.4*1.25*1.2*1.1</f>
        <v>2.3100000000000005</v>
      </c>
      <c r="H3">
        <f>1.16</f>
        <v>1.1599999999999999</v>
      </c>
      <c r="I3">
        <f>1.15*1.16</f>
        <v>1.3339999999999999</v>
      </c>
      <c r="J3">
        <v>1.25</v>
      </c>
      <c r="K3">
        <f>1.03*1.3*1.1</f>
        <v>1.4729000000000003</v>
      </c>
      <c r="L3">
        <f>1.5*1.2*1.1</f>
        <v>1.98</v>
      </c>
      <c r="M3">
        <f>1.22*1.4</f>
        <v>1.708</v>
      </c>
      <c r="N3">
        <f>1.3*4.15</f>
        <v>5.3950000000000005</v>
      </c>
      <c r="O3">
        <f>1.42*1.21</f>
        <v>1.7181999999999999</v>
      </c>
      <c r="P3">
        <v>1.26</v>
      </c>
      <c r="Q3">
        <v>1.1499999999999999</v>
      </c>
    </row>
    <row r="4" spans="1:17" x14ac:dyDescent="0.3">
      <c r="A4" t="s">
        <v>2</v>
      </c>
      <c r="B4">
        <f>20+20+26+20+B25</f>
        <v>492</v>
      </c>
      <c r="C4">
        <f>20+30+15+50+20+20+B25</f>
        <v>561</v>
      </c>
      <c r="D4">
        <f>20+30+B25</f>
        <v>456</v>
      </c>
      <c r="E4">
        <f>20+16+40+B25</f>
        <v>482</v>
      </c>
      <c r="F4">
        <f>20+31+20+B25</f>
        <v>477</v>
      </c>
      <c r="G4">
        <f>B25+90-21</f>
        <v>475</v>
      </c>
      <c r="H4">
        <f>20+B25+80+20</f>
        <v>526</v>
      </c>
      <c r="I4">
        <f>20+B25+10+20+28+10</f>
        <v>494</v>
      </c>
      <c r="J4">
        <f>20+B25+11+20+20</f>
        <v>477</v>
      </c>
      <c r="K4">
        <f>B25+40+10-21</f>
        <v>435</v>
      </c>
      <c r="L4">
        <f>B25+50+40+60-21+20</f>
        <v>555</v>
      </c>
      <c r="M4">
        <f>B25+20+15+20+30</f>
        <v>491</v>
      </c>
      <c r="N4">
        <f>B25+20+40+80</f>
        <v>546</v>
      </c>
      <c r="O4">
        <f>B25+20+25+20</f>
        <v>471</v>
      </c>
      <c r="P4">
        <f>B25+20+10+41+107.36+50-30</f>
        <v>604.36</v>
      </c>
      <c r="Q4">
        <f>B25+40+10+10</f>
        <v>466</v>
      </c>
    </row>
    <row r="5" spans="1:17" x14ac:dyDescent="0.3">
      <c r="A5" t="s">
        <v>3</v>
      </c>
      <c r="B5">
        <f>D24</f>
        <v>105</v>
      </c>
      <c r="C5">
        <f>D24+31</f>
        <v>136</v>
      </c>
      <c r="D5">
        <f>D24</f>
        <v>105</v>
      </c>
      <c r="E5">
        <f>D24+10</f>
        <v>115</v>
      </c>
      <c r="F5">
        <f>D24</f>
        <v>105</v>
      </c>
      <c r="G5">
        <f>D24</f>
        <v>105</v>
      </c>
      <c r="H5">
        <f>D24</f>
        <v>105</v>
      </c>
      <c r="I5">
        <f>D24</f>
        <v>105</v>
      </c>
      <c r="J5">
        <f>D24</f>
        <v>105</v>
      </c>
      <c r="K5">
        <f>D24</f>
        <v>105</v>
      </c>
      <c r="L5">
        <f>D24</f>
        <v>105</v>
      </c>
      <c r="M5">
        <f>D24</f>
        <v>105</v>
      </c>
      <c r="N5">
        <f>D24+25</f>
        <v>130</v>
      </c>
      <c r="O5">
        <f>D24</f>
        <v>105</v>
      </c>
      <c r="P5">
        <f>D24+21</f>
        <v>126</v>
      </c>
      <c r="Q5">
        <f>D24+35</f>
        <v>140</v>
      </c>
    </row>
    <row r="6" spans="1:17" x14ac:dyDescent="0.3">
      <c r="A6" t="s">
        <v>4</v>
      </c>
      <c r="B6">
        <f>1-(1-B28)*0.49*0.8*0.8*0.6</f>
        <v>0.9708180095463691</v>
      </c>
      <c r="C6">
        <f>1-(1-B28)*0.49*0.74*0.8*0.8*0.82</f>
        <v>0.970487280321228</v>
      </c>
      <c r="D6">
        <f>1-(1-B28)*0.6*0.6*0.81*0.8</f>
        <v>0.96382028734575353</v>
      </c>
      <c r="E6">
        <f>1-(1-B28)*0.9*0.9*0.69*0.8*0.8*0.6</f>
        <v>0.96671466435809328</v>
      </c>
      <c r="F6">
        <f>1-(1-B28)*0.6*0.69*0.8*0.8</f>
        <v>0.95890699303468308</v>
      </c>
      <c r="G6">
        <f>1-(1-B28)*0.79*0.8*0.6</f>
        <v>0.94118935597355002</v>
      </c>
      <c r="H6">
        <f>1-(1-B28)*0.6*0.84*0.7*0.8*0.8</f>
        <v>0.96498161145564298</v>
      </c>
      <c r="I6">
        <f>1-(1-B28)*0.6*0.7*0.8</f>
        <v>0.94788930276137351</v>
      </c>
      <c r="J6">
        <f>1-(1-B28)*0.6*0.59*0.69*0.8</f>
        <v>0.96969390736307881</v>
      </c>
      <c r="K6">
        <f>1-(1-B28)*0.6*0.79*0.8*0.8</f>
        <v>0.95295148477884006</v>
      </c>
      <c r="L6">
        <f>1-(1-B28)*0.6*0.79*0.75*0.8</f>
        <v>0.95589201698016257</v>
      </c>
      <c r="M6">
        <f>1-(1-B28)*0.82*0.75*0.49*0.8*0.8</f>
        <v>0.97008845978502833</v>
      </c>
      <c r="N6">
        <f>1-(1-B28)*0.82*0.75*0.48*0.8</f>
        <v>0.96337362422656536</v>
      </c>
      <c r="O6">
        <f>1-(1-B28)*0.6*0.69*0.5*0.8</f>
        <v>0.97431687064667694</v>
      </c>
      <c r="P6">
        <f>1-(1-B28)*0.6*0.85*0.8*0.7</f>
        <v>0.95570590734716743</v>
      </c>
      <c r="Q6">
        <f>1-(1-B28)*0.6*0.67*0.8</f>
        <v>0.9501226183573146</v>
      </c>
    </row>
    <row r="7" spans="1:17" x14ac:dyDescent="0.3">
      <c r="A7" t="s">
        <v>5</v>
      </c>
      <c r="B7">
        <f>683+81+B27</f>
        <v>2245</v>
      </c>
      <c r="C7">
        <f>649+92+B27</f>
        <v>2222</v>
      </c>
      <c r="D7">
        <f>777+111+B27</f>
        <v>2369</v>
      </c>
      <c r="E7">
        <f>683+20+20+30+51+46+B27</f>
        <v>2331</v>
      </c>
      <c r="F7">
        <f>660+B27+30+40+41+30</f>
        <v>2282</v>
      </c>
      <c r="G7">
        <f>B27+789+33+30+10</f>
        <v>2343</v>
      </c>
      <c r="H7">
        <f>548+B27+90+40</f>
        <v>2159</v>
      </c>
      <c r="I7">
        <f>B27+539+56+20+40</f>
        <v>2136</v>
      </c>
      <c r="J7">
        <f>B27+416+29+70+30</f>
        <v>2026</v>
      </c>
      <c r="K7">
        <f>B27+789+10+50+33</f>
        <v>2363</v>
      </c>
      <c r="L7">
        <f>B27+789+33+30+10</f>
        <v>2343</v>
      </c>
      <c r="M7">
        <f>B27+660+30+31</f>
        <v>2202</v>
      </c>
      <c r="N7">
        <f>B27+649+30+40+62+21</f>
        <v>2283</v>
      </c>
      <c r="O7">
        <f>B27+683+60+10+20</f>
        <v>2254</v>
      </c>
      <c r="P7">
        <f>B27+649+122</f>
        <v>2252</v>
      </c>
      <c r="Q7">
        <f>B27+660+102</f>
        <v>2243</v>
      </c>
    </row>
    <row r="8" spans="1:17" x14ac:dyDescent="0.3">
      <c r="A8" t="s">
        <v>27</v>
      </c>
      <c r="B8">
        <f>ROUND(B29+30*(100+B26)/100,0)</f>
        <v>35151</v>
      </c>
      <c r="C8">
        <f>ROUND(B29+30*(100+B26)/100,0)</f>
        <v>35151</v>
      </c>
      <c r="D8">
        <f>ROUND(B29+60*(100+B26)/100,0)</f>
        <v>35302</v>
      </c>
      <c r="E8">
        <f>ROUND(B29+206*(100+B26)/100,0)</f>
        <v>36036</v>
      </c>
      <c r="F8">
        <f>ROUND(B29+120*(100+B26)/100,0)</f>
        <v>35604</v>
      </c>
      <c r="G8">
        <f>ROUND(B29+40*(100+B26)/100,0)</f>
        <v>35201</v>
      </c>
      <c r="H8">
        <f>ROUND(B29+80*(100+B26)/100,0)</f>
        <v>35402</v>
      </c>
      <c r="I8">
        <f>ROUND(B29+30*(100+B26)/100,0)</f>
        <v>35151</v>
      </c>
      <c r="J8">
        <f>ROUND(B29+50*(100+B26)/100,0)</f>
        <v>35252</v>
      </c>
      <c r="K8">
        <f>ROUND(B29+40*(100+B26)/100,0)</f>
        <v>35201</v>
      </c>
      <c r="L8">
        <f>ROUND(B29+40*(100+B26)/100,0)</f>
        <v>35201</v>
      </c>
      <c r="M8">
        <f>ROUND(B29+71*(100+B26)/100,0)</f>
        <v>35357</v>
      </c>
      <c r="N8">
        <f>ROUND(B29+112*(100+B26)/100,0)</f>
        <v>35563</v>
      </c>
      <c r="O8">
        <f>ROUND(B29+30*(100+B26)/100,0)</f>
        <v>35151</v>
      </c>
      <c r="P8">
        <f>ROUND(B29+(D25/2+30)*(100+15+B26)/100,0)</f>
        <v>35787</v>
      </c>
      <c r="Q8">
        <f>ROUND(B29+132*(100+B26)/100,0)</f>
        <v>35664</v>
      </c>
    </row>
    <row r="9" spans="1:17" x14ac:dyDescent="0.3">
      <c r="A9" t="s">
        <v>6</v>
      </c>
      <c r="B9">
        <v>3980</v>
      </c>
      <c r="C9">
        <v>3980</v>
      </c>
      <c r="D9">
        <v>3900</v>
      </c>
      <c r="E9">
        <v>3950</v>
      </c>
      <c r="F9">
        <v>3980</v>
      </c>
      <c r="G9">
        <v>3980</v>
      </c>
      <c r="H9">
        <v>3980</v>
      </c>
      <c r="I9">
        <v>3980</v>
      </c>
      <c r="J9">
        <v>3980</v>
      </c>
      <c r="K9">
        <v>3980</v>
      </c>
      <c r="L9">
        <v>3980</v>
      </c>
      <c r="M9">
        <v>3980</v>
      </c>
      <c r="N9">
        <v>3980</v>
      </c>
      <c r="O9">
        <v>3980</v>
      </c>
      <c r="P9">
        <v>3980</v>
      </c>
      <c r="Q9">
        <v>3980</v>
      </c>
    </row>
    <row r="10" spans="1:17" x14ac:dyDescent="0.3">
      <c r="A10" t="s">
        <v>14</v>
      </c>
      <c r="B10">
        <f>20+B30</f>
        <v>90</v>
      </c>
      <c r="C10">
        <f>B30+15+11</f>
        <v>96</v>
      </c>
      <c r="D10">
        <f>B30+16</f>
        <v>86</v>
      </c>
      <c r="E10">
        <f>15+B30</f>
        <v>85</v>
      </c>
      <c r="F10">
        <f>B30+16</f>
        <v>86</v>
      </c>
      <c r="G10">
        <f>B30+13</f>
        <v>83</v>
      </c>
      <c r="H10">
        <f>61+B30</f>
        <v>131</v>
      </c>
      <c r="I10">
        <f>B30+5</f>
        <v>75</v>
      </c>
      <c r="J10">
        <f>B30+15+10+5</f>
        <v>100</v>
      </c>
      <c r="K10">
        <f>B30+13</f>
        <v>83</v>
      </c>
      <c r="L10">
        <f>B30+28</f>
        <v>98</v>
      </c>
      <c r="M10">
        <f>B30+8+20+8</f>
        <v>106</v>
      </c>
      <c r="N10">
        <f>B30+8+8</f>
        <v>86</v>
      </c>
      <c r="O10">
        <f>B30+20</f>
        <v>90</v>
      </c>
      <c r="P10">
        <f>B30+8+20</f>
        <v>98</v>
      </c>
      <c r="Q10">
        <f>B30+8+12+8+8</f>
        <v>106</v>
      </c>
    </row>
    <row r="11" spans="1:17" x14ac:dyDescent="0.3">
      <c r="A11" t="s">
        <v>46</v>
      </c>
      <c r="B11">
        <v>0</v>
      </c>
      <c r="C11">
        <v>0</v>
      </c>
      <c r="D11">
        <v>10</v>
      </c>
      <c r="E11">
        <v>10</v>
      </c>
      <c r="F11">
        <v>0</v>
      </c>
      <c r="G11">
        <v>10</v>
      </c>
      <c r="H11">
        <v>0</v>
      </c>
      <c r="I11">
        <v>0</v>
      </c>
      <c r="J11">
        <v>0</v>
      </c>
      <c r="K11">
        <v>10</v>
      </c>
      <c r="L11">
        <v>10</v>
      </c>
      <c r="M11">
        <v>0</v>
      </c>
      <c r="N11">
        <v>0</v>
      </c>
      <c r="O11">
        <v>0</v>
      </c>
      <c r="P11">
        <v>0</v>
      </c>
      <c r="Q11">
        <v>0</v>
      </c>
    </row>
    <row r="12" spans="1:17" x14ac:dyDescent="0.3">
      <c r="A12" t="s">
        <v>16</v>
      </c>
      <c r="B12">
        <v>289</v>
      </c>
      <c r="C12">
        <v>221</v>
      </c>
      <c r="D12">
        <v>388</v>
      </c>
      <c r="E12">
        <v>404</v>
      </c>
      <c r="F12">
        <v>111</v>
      </c>
      <c r="G12">
        <v>253</v>
      </c>
      <c r="H12">
        <v>662</v>
      </c>
      <c r="I12">
        <v>291</v>
      </c>
      <c r="J12">
        <v>382</v>
      </c>
      <c r="K12">
        <v>321</v>
      </c>
      <c r="L12">
        <v>233</v>
      </c>
      <c r="M12">
        <v>740</v>
      </c>
      <c r="N12">
        <v>353</v>
      </c>
      <c r="O12">
        <v>318</v>
      </c>
      <c r="P12">
        <v>348</v>
      </c>
      <c r="Q12">
        <v>372</v>
      </c>
    </row>
    <row r="13" spans="1:17" x14ac:dyDescent="0.3">
      <c r="A13" t="s">
        <v>33</v>
      </c>
      <c r="B13" t="s">
        <v>34</v>
      </c>
      <c r="C13" t="s">
        <v>35</v>
      </c>
      <c r="D13" t="s">
        <v>36</v>
      </c>
      <c r="E13" t="s">
        <v>37</v>
      </c>
      <c r="F13" t="s">
        <v>38</v>
      </c>
      <c r="G13" t="s">
        <v>43</v>
      </c>
      <c r="H13" t="s">
        <v>45</v>
      </c>
      <c r="I13" t="s">
        <v>48</v>
      </c>
      <c r="J13" t="s">
        <v>50</v>
      </c>
      <c r="K13" t="s">
        <v>53</v>
      </c>
      <c r="L13" t="s">
        <v>56</v>
      </c>
      <c r="M13" t="s">
        <v>60</v>
      </c>
      <c r="N13" t="s">
        <v>63</v>
      </c>
      <c r="O13" t="s">
        <v>68</v>
      </c>
      <c r="P13" t="s">
        <v>72</v>
      </c>
      <c r="Q13" t="s">
        <v>75</v>
      </c>
    </row>
    <row r="14" spans="1:17" x14ac:dyDescent="0.3">
      <c r="A14" t="s">
        <v>17</v>
      </c>
      <c r="B14">
        <f>ROUND((B8*4+B9)*B2*B7/100*(100+B4)/100*(B3)*(100+B5)/100*(135+B10)/100*B12/100*2.2*0.5*1.05*(1-(1-B6)*3)*(1+(B11/105))*1.2,0)</f>
        <v>1844037600</v>
      </c>
      <c r="C14">
        <f>ROUND((C8*4+C9)*C2*C7/100*(100+C4)/100*(C3)*(100+C5)/100*(135+C10)/100*C12/100*2.2*0.5*1.05*(1-(1-C6)*3)*(1+(C11/105))*1.2,0)</f>
        <v>701603161</v>
      </c>
      <c r="D14">
        <f>ROUND((D8*4+D9)*D2*D7/100*(100+D4)/100*(D3)*(100+D5)/100*(135+D10)/100*D12/100*2.2*0.5*1.05*(1-(1-D6)*3)*(1+(D11/105))*1.2,0)</f>
        <v>1163956527</v>
      </c>
      <c r="E14">
        <f t="shared" ref="E14:H14" si="0">ROUND((E8*4+E9)*E2*E7/100*(100+E4)/100*(E3)*(100+E5)/100*(135+E10)/100*E12/100*2.2*0.5*1.05*(1-(1-E6)*3)*(1+(E11/105))*1.2,0)</f>
        <v>830377564</v>
      </c>
      <c r="F14">
        <f t="shared" si="0"/>
        <v>424396716</v>
      </c>
      <c r="G14">
        <f t="shared" si="0"/>
        <v>764286304</v>
      </c>
      <c r="H14">
        <f t="shared" si="0"/>
        <v>1737450535</v>
      </c>
      <c r="I14">
        <f t="shared" ref="I14:N14" si="1">ROUND((I8*4+I9)*I2*I7/100*(100+I4)/100*(I3)*(100+I5)/100*(135+I10)/100*I12/100*2.2*0.5*1.05*(1-(1-I6)*3)*(1+(I11/105))*1.2,0)</f>
        <v>537719668</v>
      </c>
      <c r="J14">
        <f t="shared" si="1"/>
        <v>859699388</v>
      </c>
      <c r="K14">
        <f t="shared" si="1"/>
        <v>605061213</v>
      </c>
      <c r="L14">
        <f t="shared" si="1"/>
        <v>773883667</v>
      </c>
      <c r="M14">
        <f t="shared" si="1"/>
        <v>2012558951</v>
      </c>
      <c r="N14">
        <f t="shared" si="1"/>
        <v>3348287034</v>
      </c>
      <c r="O14">
        <f>ROUND((O8*4+O9)*O2*O7/100*(100+O4)/100*(O3)*(100+O5)/100*(135+O10)/100*O12/100*2.2*0.5*1.05*(1-(1-O6)*3)*(1+(O11/105))*1.2,0)</f>
        <v>803885065</v>
      </c>
      <c r="P14">
        <f>ROUND((P8*4+P9)*P2*P7/100*(100+P4)/100*(P3)*(100+P5)/100*(135+P10)/100*P12/100*2.2*0.5*1.05*(1-(1-P6)*3)*(1+(P11/105))*1.2,0)</f>
        <v>841893578</v>
      </c>
      <c r="Q14">
        <f t="shared" ref="Q14" si="2">ROUND((Q8*4+Q9)*Q2*Q7/100*(100+Q4)/100*(Q3)*(100+Q5)/100*(135+Q10)/100*Q12/100*2.2*0.5*1.05*(1-(1-Q6)*3)*(1+(Q11/105))*1.2,0)</f>
        <v>732924447</v>
      </c>
    </row>
    <row r="15" spans="1:17" x14ac:dyDescent="0.3">
      <c r="A15" t="s">
        <v>24</v>
      </c>
      <c r="B15" t="s">
        <v>25</v>
      </c>
      <c r="C15" t="s">
        <v>41</v>
      </c>
      <c r="D15" t="s">
        <v>42</v>
      </c>
      <c r="E15" t="s">
        <v>28</v>
      </c>
      <c r="F15" t="s">
        <v>40</v>
      </c>
      <c r="G15" t="s">
        <v>57</v>
      </c>
      <c r="H15" t="s">
        <v>94</v>
      </c>
      <c r="I15" t="s">
        <v>54</v>
      </c>
      <c r="J15" t="s">
        <v>51</v>
      </c>
      <c r="K15" t="s">
        <v>66</v>
      </c>
      <c r="L15" t="s">
        <v>58</v>
      </c>
      <c r="M15" t="s">
        <v>61</v>
      </c>
      <c r="N15" t="s">
        <v>64</v>
      </c>
      <c r="O15" t="s">
        <v>69</v>
      </c>
      <c r="P15" t="s">
        <v>73</v>
      </c>
    </row>
    <row r="19" spans="1:4" x14ac:dyDescent="0.3">
      <c r="A19" t="s">
        <v>15</v>
      </c>
      <c r="B19" t="s">
        <v>7</v>
      </c>
      <c r="C19" t="s">
        <v>8</v>
      </c>
      <c r="D19" t="s">
        <v>9</v>
      </c>
    </row>
    <row r="20" spans="1:4" x14ac:dyDescent="0.3">
      <c r="A20" t="s">
        <v>10</v>
      </c>
      <c r="B20" s="1">
        <v>85</v>
      </c>
      <c r="C20" s="1">
        <v>65</v>
      </c>
      <c r="D20" s="1"/>
    </row>
    <row r="21" spans="1:4" x14ac:dyDescent="0.3">
      <c r="A21" t="s">
        <v>11</v>
      </c>
      <c r="B21" s="1"/>
      <c r="C21" s="1"/>
      <c r="D21" s="1">
        <v>30</v>
      </c>
    </row>
    <row r="22" spans="1:4" x14ac:dyDescent="0.3">
      <c r="A22" t="s">
        <v>12</v>
      </c>
      <c r="B22" s="1">
        <v>12</v>
      </c>
      <c r="C22" s="1">
        <v>9</v>
      </c>
      <c r="D22" s="1">
        <v>21</v>
      </c>
    </row>
    <row r="24" spans="1:4" x14ac:dyDescent="0.3">
      <c r="A24" t="s">
        <v>13</v>
      </c>
      <c r="B24" s="1">
        <v>63</v>
      </c>
      <c r="C24" t="s">
        <v>30</v>
      </c>
      <c r="D24">
        <f>B24+SUM(B22:D22)</f>
        <v>105</v>
      </c>
    </row>
    <row r="25" spans="1:4" x14ac:dyDescent="0.3">
      <c r="A25" t="s">
        <v>114</v>
      </c>
      <c r="B25">
        <f>Sheet1!B3</f>
        <v>406</v>
      </c>
      <c r="C25" t="s">
        <v>71</v>
      </c>
      <c r="D25">
        <v>244</v>
      </c>
    </row>
    <row r="26" spans="1:4" x14ac:dyDescent="0.3">
      <c r="A26" t="s">
        <v>22</v>
      </c>
      <c r="B26">
        <v>403</v>
      </c>
    </row>
    <row r="27" spans="1:4" x14ac:dyDescent="0.3">
      <c r="A27" t="s">
        <v>23</v>
      </c>
      <c r="B27">
        <v>1481</v>
      </c>
    </row>
    <row r="28" spans="1:4" x14ac:dyDescent="0.3">
      <c r="A28" t="s">
        <v>31</v>
      </c>
      <c r="B28">
        <f>Sheet1!B7</f>
        <v>0.84490863917075432</v>
      </c>
    </row>
    <row r="29" spans="1:4" x14ac:dyDescent="0.3">
      <c r="A29" t="s">
        <v>65</v>
      </c>
      <c r="B29">
        <v>35000</v>
      </c>
    </row>
    <row r="30" spans="1:4" x14ac:dyDescent="0.3">
      <c r="A30" t="s">
        <v>32</v>
      </c>
      <c r="B30">
        <v>70</v>
      </c>
    </row>
  </sheetData>
  <phoneticPr fontId="1" type="noConversion"/>
  <pageMargins left="0.7" right="0.7" top="0.75" bottom="0.75" header="0.3" footer="0.3"/>
  <pageSetup paperSize="9" orientation="portrait" horizont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덕산</cp:lastModifiedBy>
  <dcterms:created xsi:type="dcterms:W3CDTF">2019-06-02T01:37:33Z</dcterms:created>
  <dcterms:modified xsi:type="dcterms:W3CDTF">2019-09-03T06:54:40Z</dcterms:modified>
</cp:coreProperties>
</file>