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pha\OneDrive\M\DPM_published\"/>
    </mc:Choice>
  </mc:AlternateContent>
  <xr:revisionPtr revIDLastSave="14" documentId="8_{AA3C0033-BC31-48EC-B210-03924FB7ACAB}" xr6:coauthVersionLast="45" xr6:coauthVersionMax="45" xr10:uidLastSave="{135D9955-CCF7-435B-BE15-1D14D51CF73E}"/>
  <workbookProtection workbookAlgorithmName="SHA-512" workbookHashValue="UlZd7Cm9gEZOXeH/NAH3BJTgWvL6ykxaK14dPFKNo0/Q5QWQBMYEdeOOFN5JE+bLMjJd4WIW76DVa0V4znl+nA==" workbookSaltValue="fXJY0BkMO3C42LtOFG7GeQ==" workbookSpinCount="100000" lockStructure="1"/>
  <bookViews>
    <workbookView xWindow="-108" yWindow="-108" windowWidth="23256" windowHeight="12576" xr2:uid="{00000000-000D-0000-FFFF-FFFF00000000}"/>
  </bookViews>
  <sheets>
    <sheet name="Main" sheetId="19" r:id="rId1"/>
    <sheet name="Stat" sheetId="1" r:id="rId2"/>
    <sheet name="Stat%" sheetId="12" r:id="rId3"/>
    <sheet name="MOB" sheetId="4" r:id="rId4"/>
    <sheet name="IgnoreD" sheetId="2" r:id="rId5"/>
    <sheet name="DPM" sheetId="11" r:id="rId6"/>
    <sheet name="10sec" sheetId="22" state="hidden" r:id="rId7"/>
    <sheet name="40sec " sheetId="23" state="hidden" r:id="rId8"/>
    <sheet name="DPM_DB" sheetId="13" state="hidden" r:id="rId9"/>
    <sheet name="LEV_Force" sheetId="21" r:id="rId10"/>
    <sheet name="Core" sheetId="5" r:id="rId11"/>
    <sheet name="Symbol" sheetId="6" r:id="rId12"/>
    <sheet name="HS" sheetId="16" r:id="rId13"/>
    <sheet name="SF" sheetId="18" r:id="rId14"/>
    <sheet name="Conversion" sheetId="17" state="hidden" r:id="rId15"/>
    <sheet name="Seed" sheetId="20" r:id="rId1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6" i="13" l="1"/>
  <c r="B25" i="13"/>
  <c r="I95" i="11"/>
  <c r="P1" i="4" l="1"/>
  <c r="L15" i="4"/>
  <c r="L16" i="4"/>
  <c r="L17" i="4"/>
  <c r="L18" i="4"/>
  <c r="L19" i="4"/>
  <c r="L20" i="4"/>
  <c r="L21" i="4"/>
  <c r="L22" i="4"/>
  <c r="L23" i="4"/>
  <c r="L24" i="4"/>
  <c r="L25" i="4"/>
  <c r="L26" i="4"/>
  <c r="M26" i="4" s="1"/>
  <c r="L27" i="4"/>
  <c r="L28" i="4"/>
  <c r="L14" i="4"/>
  <c r="G27" i="4"/>
  <c r="G28" i="4"/>
  <c r="G15" i="4"/>
  <c r="G16" i="4"/>
  <c r="G17" i="4"/>
  <c r="G18" i="4"/>
  <c r="G19" i="4"/>
  <c r="G20" i="4"/>
  <c r="G21" i="4"/>
  <c r="G22" i="4"/>
  <c r="G23" i="4"/>
  <c r="G24" i="4"/>
  <c r="G25" i="4"/>
  <c r="G26" i="4"/>
  <c r="G14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15" i="4"/>
  <c r="I16" i="4"/>
  <c r="M16" i="4" s="1"/>
  <c r="I17" i="4"/>
  <c r="M17" i="4" s="1"/>
  <c r="I18" i="4"/>
  <c r="M18" i="4" s="1"/>
  <c r="I19" i="4"/>
  <c r="M19" i="4" s="1"/>
  <c r="I20" i="4"/>
  <c r="M20" i="4" s="1"/>
  <c r="I21" i="4"/>
  <c r="M21" i="4" s="1"/>
  <c r="I22" i="4"/>
  <c r="I23" i="4"/>
  <c r="M23" i="4" s="1"/>
  <c r="I24" i="4"/>
  <c r="M24" i="4" s="1"/>
  <c r="I25" i="4"/>
  <c r="M25" i="4" s="1"/>
  <c r="I26" i="4"/>
  <c r="K26" i="4" s="1"/>
  <c r="I27" i="4"/>
  <c r="M27" i="4" s="1"/>
  <c r="I28" i="4"/>
  <c r="M28" i="4" s="1"/>
  <c r="I14" i="4"/>
  <c r="J14" i="4"/>
  <c r="J15" i="4"/>
  <c r="J16" i="4"/>
  <c r="J17" i="4"/>
  <c r="J18" i="4"/>
  <c r="K18" i="4" s="1"/>
  <c r="J19" i="4"/>
  <c r="J20" i="4"/>
  <c r="J21" i="4"/>
  <c r="J22" i="4"/>
  <c r="J23" i="4"/>
  <c r="J24" i="4"/>
  <c r="J25" i="4"/>
  <c r="J26" i="4"/>
  <c r="J27" i="4"/>
  <c r="J28" i="4"/>
  <c r="J29" i="4"/>
  <c r="J30" i="4"/>
  <c r="E15" i="4"/>
  <c r="E14" i="4"/>
  <c r="K22" i="4" l="1"/>
  <c r="K15" i="4"/>
  <c r="M22" i="4"/>
  <c r="K25" i="4"/>
  <c r="K21" i="4"/>
  <c r="K17" i="4"/>
  <c r="K14" i="4"/>
  <c r="K28" i="4"/>
  <c r="K24" i="4"/>
  <c r="K20" i="4"/>
  <c r="K16" i="4"/>
  <c r="K27" i="4"/>
  <c r="K23" i="4"/>
  <c r="K19" i="4"/>
  <c r="M14" i="4"/>
  <c r="M15" i="4"/>
  <c r="G25" i="11"/>
  <c r="B2" i="21" l="1"/>
  <c r="B2" i="2"/>
  <c r="C2" i="2"/>
  <c r="D20" i="16"/>
  <c r="B3" i="2"/>
  <c r="C3" i="2"/>
  <c r="C4" i="2"/>
  <c r="C5" i="2"/>
  <c r="C6" i="2"/>
  <c r="C7" i="2"/>
  <c r="C8" i="2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B24" i="2" s="1"/>
  <c r="I25" i="11" s="1"/>
  <c r="W67" i="11"/>
  <c r="W49" i="11"/>
  <c r="B18" i="6"/>
  <c r="B19" i="6"/>
  <c r="B20" i="6"/>
  <c r="B21" i="6"/>
  <c r="D17" i="6"/>
  <c r="F17" i="6"/>
  <c r="G17" i="6"/>
  <c r="H17" i="6"/>
  <c r="C18" i="6"/>
  <c r="D18" i="6"/>
  <c r="E18" i="6"/>
  <c r="F18" i="6"/>
  <c r="A18" i="6"/>
  <c r="G18" i="6"/>
  <c r="H18" i="6"/>
  <c r="C19" i="6"/>
  <c r="D19" i="6"/>
  <c r="E19" i="6"/>
  <c r="F19" i="6"/>
  <c r="A19" i="6"/>
  <c r="G19" i="6"/>
  <c r="H19" i="6"/>
  <c r="C20" i="6"/>
  <c r="D20" i="6"/>
  <c r="E20" i="6"/>
  <c r="F20" i="6"/>
  <c r="A20" i="6"/>
  <c r="G20" i="6"/>
  <c r="H20" i="6"/>
  <c r="C21" i="6"/>
  <c r="D21" i="6"/>
  <c r="E21" i="6"/>
  <c r="F21" i="6"/>
  <c r="A21" i="6"/>
  <c r="G21" i="6"/>
  <c r="H21" i="6"/>
  <c r="B22" i="6"/>
  <c r="C22" i="6"/>
  <c r="D22" i="6"/>
  <c r="E22" i="6"/>
  <c r="F22" i="6"/>
  <c r="A22" i="6"/>
  <c r="G22" i="6"/>
  <c r="H22" i="6"/>
  <c r="B23" i="6"/>
  <c r="C23" i="6"/>
  <c r="D23" i="6"/>
  <c r="E23" i="6"/>
  <c r="F23" i="6"/>
  <c r="A23" i="6"/>
  <c r="G23" i="6"/>
  <c r="H23" i="6"/>
  <c r="B24" i="6"/>
  <c r="C24" i="6"/>
  <c r="D24" i="6"/>
  <c r="E24" i="6"/>
  <c r="F24" i="6"/>
  <c r="A24" i="6"/>
  <c r="G24" i="6"/>
  <c r="H24" i="6"/>
  <c r="B25" i="6"/>
  <c r="C25" i="6"/>
  <c r="D25" i="6"/>
  <c r="E25" i="6"/>
  <c r="F25" i="6"/>
  <c r="A25" i="6"/>
  <c r="G25" i="6"/>
  <c r="H25" i="6"/>
  <c r="B26" i="6"/>
  <c r="C26" i="6"/>
  <c r="D26" i="6"/>
  <c r="E26" i="6"/>
  <c r="F26" i="6"/>
  <c r="A26" i="6"/>
  <c r="G26" i="6"/>
  <c r="H26" i="6"/>
  <c r="B27" i="6"/>
  <c r="C27" i="6"/>
  <c r="D27" i="6"/>
  <c r="E27" i="6"/>
  <c r="F27" i="6"/>
  <c r="A27" i="6"/>
  <c r="G27" i="6"/>
  <c r="H27" i="6"/>
  <c r="B28" i="6"/>
  <c r="C28" i="6"/>
  <c r="D28" i="6"/>
  <c r="E28" i="6"/>
  <c r="F28" i="6"/>
  <c r="A28" i="6"/>
  <c r="G28" i="6"/>
  <c r="H28" i="6"/>
  <c r="B29" i="6"/>
  <c r="C29" i="6"/>
  <c r="D29" i="6"/>
  <c r="E29" i="6"/>
  <c r="F29" i="6"/>
  <c r="A29" i="6"/>
  <c r="G29" i="6"/>
  <c r="H29" i="6"/>
  <c r="B30" i="6"/>
  <c r="C30" i="6"/>
  <c r="D30" i="6"/>
  <c r="E30" i="6"/>
  <c r="F30" i="6"/>
  <c r="A30" i="6"/>
  <c r="G30" i="6"/>
  <c r="H30" i="6"/>
  <c r="B31" i="6"/>
  <c r="C31" i="6"/>
  <c r="D31" i="6"/>
  <c r="E31" i="6"/>
  <c r="F31" i="6"/>
  <c r="A31" i="6"/>
  <c r="G31" i="6"/>
  <c r="H31" i="6"/>
  <c r="B32" i="6"/>
  <c r="C32" i="6"/>
  <c r="D32" i="6"/>
  <c r="E32" i="6"/>
  <c r="F32" i="6"/>
  <c r="A32" i="6"/>
  <c r="G32" i="6"/>
  <c r="H32" i="6"/>
  <c r="B33" i="6"/>
  <c r="C33" i="6"/>
  <c r="D33" i="6"/>
  <c r="E33" i="6"/>
  <c r="F33" i="6"/>
  <c r="A33" i="6"/>
  <c r="G33" i="6"/>
  <c r="H33" i="6"/>
  <c r="B34" i="6"/>
  <c r="C34" i="6"/>
  <c r="D34" i="6"/>
  <c r="E34" i="6"/>
  <c r="F34" i="6"/>
  <c r="A34" i="6"/>
  <c r="G34" i="6"/>
  <c r="H34" i="6"/>
  <c r="B35" i="6"/>
  <c r="C35" i="6"/>
  <c r="D35" i="6"/>
  <c r="E35" i="6"/>
  <c r="F35" i="6"/>
  <c r="A35" i="6"/>
  <c r="G35" i="6"/>
  <c r="H35" i="6"/>
  <c r="B7" i="6"/>
  <c r="L8" i="6"/>
  <c r="J8" i="6"/>
  <c r="H8" i="6"/>
  <c r="F8" i="6"/>
  <c r="D8" i="6"/>
  <c r="B8" i="6"/>
  <c r="M3" i="6"/>
  <c r="K3" i="6"/>
  <c r="I3" i="6"/>
  <c r="G3" i="6"/>
  <c r="E3" i="6"/>
  <c r="C3" i="6"/>
  <c r="G3" i="12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D5" i="1" s="1"/>
  <c r="G27" i="1" s="1"/>
  <c r="N12" i="18"/>
  <c r="J12" i="18"/>
  <c r="K12" i="18"/>
  <c r="L12" i="18"/>
  <c r="M12" i="18"/>
  <c r="I12" i="18"/>
  <c r="H12" i="11"/>
  <c r="I9" i="11"/>
  <c r="I11" i="11"/>
  <c r="I12" i="11"/>
  <c r="J12" i="11"/>
  <c r="D12" i="11"/>
  <c r="R80" i="11"/>
  <c r="R79" i="11"/>
  <c r="R78" i="11"/>
  <c r="R77" i="11"/>
  <c r="R76" i="11"/>
  <c r="R71" i="11"/>
  <c r="R70" i="11"/>
  <c r="R67" i="11"/>
  <c r="R66" i="11"/>
  <c r="R64" i="11"/>
  <c r="R62" i="11"/>
  <c r="R60" i="11"/>
  <c r="R59" i="11"/>
  <c r="R58" i="11"/>
  <c r="R57" i="11"/>
  <c r="R56" i="11"/>
  <c r="R53" i="11"/>
  <c r="R52" i="11"/>
  <c r="R49" i="11"/>
  <c r="R48" i="11"/>
  <c r="R46" i="11"/>
  <c r="R44" i="11"/>
  <c r="R42" i="11"/>
  <c r="R41" i="11"/>
  <c r="R40" i="11"/>
  <c r="R39" i="11"/>
  <c r="R38" i="11"/>
  <c r="F75" i="11"/>
  <c r="F76" i="11"/>
  <c r="F77" i="11"/>
  <c r="F78" i="11"/>
  <c r="F79" i="11"/>
  <c r="F80" i="11"/>
  <c r="F81" i="11"/>
  <c r="F74" i="11"/>
  <c r="G75" i="11"/>
  <c r="G76" i="11"/>
  <c r="G77" i="11"/>
  <c r="G78" i="11"/>
  <c r="G79" i="11"/>
  <c r="G80" i="11"/>
  <c r="G81" i="11"/>
  <c r="F9" i="11"/>
  <c r="D24" i="16"/>
  <c r="C14" i="16"/>
  <c r="D14" i="16"/>
  <c r="D22" i="16"/>
  <c r="D21" i="16"/>
  <c r="D16" i="16"/>
  <c r="D15" i="16"/>
  <c r="D13" i="16"/>
  <c r="D10" i="16"/>
  <c r="D11" i="16"/>
  <c r="D12" i="16"/>
  <c r="D9" i="16"/>
  <c r="B2" i="1"/>
  <c r="D23" i="16"/>
  <c r="B3" i="16"/>
  <c r="Y78" i="11"/>
  <c r="Y79" i="11"/>
  <c r="W77" i="11"/>
  <c r="W78" i="11"/>
  <c r="AC75" i="11"/>
  <c r="AC76" i="11"/>
  <c r="AB75" i="11"/>
  <c r="AB76" i="11"/>
  <c r="AB77" i="11"/>
  <c r="AB78" i="11"/>
  <c r="AB79" i="11"/>
  <c r="AB80" i="11"/>
  <c r="AB81" i="11"/>
  <c r="X75" i="11"/>
  <c r="X76" i="11"/>
  <c r="X77" i="11"/>
  <c r="X78" i="11"/>
  <c r="X79" i="11"/>
  <c r="X80" i="11"/>
  <c r="X81" i="11"/>
  <c r="G3" i="4"/>
  <c r="G4" i="4"/>
  <c r="G5" i="4"/>
  <c r="G6" i="4"/>
  <c r="G7" i="4"/>
  <c r="G8" i="4"/>
  <c r="G9" i="4"/>
  <c r="G10" i="4"/>
  <c r="G11" i="4"/>
  <c r="G12" i="4"/>
  <c r="G13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2" i="4"/>
  <c r="C2" i="21"/>
  <c r="G63" i="21"/>
  <c r="G65" i="21"/>
  <c r="G66" i="21"/>
  <c r="G64" i="21"/>
  <c r="G62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58" i="21"/>
  <c r="H59" i="21"/>
  <c r="H60" i="21"/>
  <c r="H61" i="21"/>
  <c r="H62" i="21"/>
  <c r="H63" i="21"/>
  <c r="H64" i="21"/>
  <c r="H65" i="21"/>
  <c r="H66" i="21"/>
  <c r="H7" i="2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69" i="21"/>
  <c r="F70" i="21"/>
  <c r="F71" i="21"/>
  <c r="F72" i="21"/>
  <c r="F73" i="21"/>
  <c r="F74" i="21"/>
  <c r="F75" i="21"/>
  <c r="F76" i="21"/>
  <c r="F77" i="21"/>
  <c r="F78" i="21"/>
  <c r="F79" i="21"/>
  <c r="F80" i="21"/>
  <c r="F81" i="21"/>
  <c r="F82" i="21"/>
  <c r="F83" i="21"/>
  <c r="F84" i="21"/>
  <c r="F85" i="21"/>
  <c r="F86" i="21"/>
  <c r="I116" i="4"/>
  <c r="E128" i="4"/>
  <c r="E129" i="4"/>
  <c r="E130" i="4"/>
  <c r="E131" i="4"/>
  <c r="E132" i="4"/>
  <c r="E127" i="4"/>
  <c r="E126" i="4"/>
  <c r="E116" i="4"/>
  <c r="E117" i="4"/>
  <c r="E118" i="4"/>
  <c r="E119" i="4"/>
  <c r="E120" i="4"/>
  <c r="E121" i="4"/>
  <c r="E122" i="4"/>
  <c r="E123" i="4"/>
  <c r="E124" i="4"/>
  <c r="E125" i="4"/>
  <c r="E115" i="4"/>
  <c r="E114" i="4"/>
  <c r="E100" i="4"/>
  <c r="E113" i="4"/>
  <c r="E112" i="4"/>
  <c r="E111" i="4"/>
  <c r="E108" i="4"/>
  <c r="E107" i="4"/>
  <c r="E110" i="4"/>
  <c r="E109" i="4"/>
  <c r="E106" i="4"/>
  <c r="E105" i="4"/>
  <c r="E104" i="4"/>
  <c r="E103" i="4"/>
  <c r="E102" i="4"/>
  <c r="E101" i="4"/>
  <c r="G67" i="21"/>
  <c r="L78" i="4"/>
  <c r="L46" i="4"/>
  <c r="Y80" i="11"/>
  <c r="AC77" i="11"/>
  <c r="W79" i="11"/>
  <c r="W80" i="11"/>
  <c r="B11" i="6"/>
  <c r="D11" i="6"/>
  <c r="F11" i="6"/>
  <c r="H11" i="6"/>
  <c r="J11" i="6"/>
  <c r="L11" i="6"/>
  <c r="O2" i="6"/>
  <c r="P2" i="4"/>
  <c r="J35" i="4" s="1"/>
  <c r="I59" i="4"/>
  <c r="G52" i="21"/>
  <c r="I113" i="4"/>
  <c r="K113" i="4" s="1"/>
  <c r="I117" i="4"/>
  <c r="K117" i="4" s="1"/>
  <c r="I125" i="4"/>
  <c r="M125" i="4" s="1"/>
  <c r="I103" i="4"/>
  <c r="I100" i="4"/>
  <c r="G42" i="21"/>
  <c r="G43" i="21"/>
  <c r="G44" i="21"/>
  <c r="G45" i="21"/>
  <c r="G46" i="21"/>
  <c r="I99" i="4"/>
  <c r="I73" i="4"/>
  <c r="I77" i="4"/>
  <c r="I81" i="4"/>
  <c r="I128" i="4"/>
  <c r="M128" i="4" s="1"/>
  <c r="I132" i="4"/>
  <c r="M132" i="4" s="1"/>
  <c r="I110" i="4"/>
  <c r="M110" i="4" s="1"/>
  <c r="I114" i="4"/>
  <c r="K114" i="4" s="1"/>
  <c r="I118" i="4"/>
  <c r="K118" i="4" s="1"/>
  <c r="I122" i="4"/>
  <c r="K122" i="4" s="1"/>
  <c r="I107" i="4"/>
  <c r="M107" i="4" s="1"/>
  <c r="I88" i="4"/>
  <c r="I87" i="4"/>
  <c r="I74" i="4"/>
  <c r="I78" i="4"/>
  <c r="I82" i="4"/>
  <c r="I61" i="4"/>
  <c r="I129" i="4"/>
  <c r="M129" i="4" s="1"/>
  <c r="I126" i="4"/>
  <c r="K126" i="4" s="1"/>
  <c r="I111" i="4"/>
  <c r="M111" i="4" s="1"/>
  <c r="I115" i="4"/>
  <c r="M115" i="4" s="1"/>
  <c r="I119" i="4"/>
  <c r="M119" i="4" s="1"/>
  <c r="I123" i="4"/>
  <c r="K123" i="4" s="1"/>
  <c r="I101" i="4"/>
  <c r="I105" i="4"/>
  <c r="I71" i="4"/>
  <c r="I75" i="4"/>
  <c r="I83" i="4"/>
  <c r="I70" i="4"/>
  <c r="I62" i="4"/>
  <c r="I66" i="4"/>
  <c r="I49" i="4"/>
  <c r="I53" i="4"/>
  <c r="I5" i="4"/>
  <c r="I9" i="4"/>
  <c r="I6" i="4"/>
  <c r="I10" i="4"/>
  <c r="I4" i="4"/>
  <c r="I55" i="4"/>
  <c r="I50" i="4"/>
  <c r="I69" i="4"/>
  <c r="I64" i="4"/>
  <c r="I98" i="4"/>
  <c r="I102" i="4"/>
  <c r="I112" i="4"/>
  <c r="M112" i="4" s="1"/>
  <c r="J5" i="6"/>
  <c r="J6" i="6"/>
  <c r="F5" i="6"/>
  <c r="F6" i="6"/>
  <c r="D5" i="6"/>
  <c r="D6" i="6"/>
  <c r="B5" i="6"/>
  <c r="B6" i="6"/>
  <c r="G68" i="21"/>
  <c r="G69" i="21"/>
  <c r="AC78" i="11"/>
  <c r="C3" i="21"/>
  <c r="G31" i="11"/>
  <c r="I104" i="4"/>
  <c r="I84" i="4"/>
  <c r="I92" i="4"/>
  <c r="G71" i="21"/>
  <c r="G70" i="21"/>
  <c r="AC79" i="11"/>
  <c r="G72" i="21"/>
  <c r="G73" i="21"/>
  <c r="I85" i="4"/>
  <c r="I93" i="4"/>
  <c r="AC80" i="11"/>
  <c r="AC81" i="11"/>
  <c r="B5" i="21"/>
  <c r="F31" i="11"/>
  <c r="C28" i="11"/>
  <c r="C25" i="11"/>
  <c r="I86" i="4"/>
  <c r="I94" i="4"/>
  <c r="G74" i="21"/>
  <c r="G75" i="21"/>
  <c r="E64" i="11"/>
  <c r="E63" i="11"/>
  <c r="E62" i="11"/>
  <c r="E55" i="11"/>
  <c r="E46" i="11"/>
  <c r="E45" i="11"/>
  <c r="E44" i="11"/>
  <c r="E37" i="11"/>
  <c r="Q5" i="5"/>
  <c r="B2" i="20"/>
  <c r="B3" i="20"/>
  <c r="F3" i="12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D2" i="1" s="1"/>
  <c r="C2" i="1"/>
  <c r="B4" i="20"/>
  <c r="D17" i="1"/>
  <c r="E88" i="4"/>
  <c r="G76" i="21"/>
  <c r="G77" i="21"/>
  <c r="I96" i="4"/>
  <c r="I95" i="4"/>
  <c r="U55" i="11"/>
  <c r="S55" i="11"/>
  <c r="B7" i="20"/>
  <c r="E14" i="20" s="1"/>
  <c r="E72" i="11"/>
  <c r="F14" i="11"/>
  <c r="G14" i="11"/>
  <c r="K14" i="11"/>
  <c r="H17" i="11"/>
  <c r="D25" i="11"/>
  <c r="H25" i="11"/>
  <c r="M81" i="11"/>
  <c r="E71" i="11"/>
  <c r="F71" i="11" s="1"/>
  <c r="B20" i="13"/>
  <c r="B21" i="13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AB56" i="11"/>
  <c r="AB57" i="11"/>
  <c r="AB58" i="11"/>
  <c r="AB59" i="11"/>
  <c r="AB60" i="11"/>
  <c r="AB61" i="11"/>
  <c r="AB62" i="11"/>
  <c r="AB63" i="11"/>
  <c r="AB64" i="11"/>
  <c r="AB65" i="11"/>
  <c r="AB66" i="11"/>
  <c r="AB67" i="11"/>
  <c r="AB68" i="11"/>
  <c r="AB69" i="11"/>
  <c r="AB70" i="11"/>
  <c r="AB71" i="11"/>
  <c r="AB72" i="11"/>
  <c r="E31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4" i="11"/>
  <c r="N75" i="11"/>
  <c r="N76" i="11"/>
  <c r="N77" i="11"/>
  <c r="N78" i="11"/>
  <c r="N79" i="11"/>
  <c r="N80" i="11"/>
  <c r="N81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4" i="11"/>
  <c r="P75" i="11"/>
  <c r="P76" i="11"/>
  <c r="P77" i="11"/>
  <c r="P78" i="11"/>
  <c r="P79" i="11"/>
  <c r="P80" i="11"/>
  <c r="P81" i="11"/>
  <c r="H13" i="11"/>
  <c r="AB38" i="11"/>
  <c r="AB39" i="11"/>
  <c r="AB40" i="11"/>
  <c r="AB41" i="11"/>
  <c r="AB42" i="11"/>
  <c r="AB43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E49" i="11"/>
  <c r="E67" i="11"/>
  <c r="D9" i="13"/>
  <c r="D10" i="13"/>
  <c r="V49" i="11"/>
  <c r="W57" i="11"/>
  <c r="W58" i="11"/>
  <c r="W59" i="11"/>
  <c r="V67" i="11"/>
  <c r="G19" i="11"/>
  <c r="E7" i="11"/>
  <c r="G7" i="11"/>
  <c r="J7" i="11"/>
  <c r="D7" i="11"/>
  <c r="F44" i="11"/>
  <c r="F45" i="11"/>
  <c r="K8" i="11"/>
  <c r="H60" i="11"/>
  <c r="Z45" i="11"/>
  <c r="V45" i="11"/>
  <c r="AA45" i="11"/>
  <c r="F62" i="11"/>
  <c r="F63" i="11"/>
  <c r="Z63" i="11"/>
  <c r="V63" i="11"/>
  <c r="AA63" i="11"/>
  <c r="Z43" i="11"/>
  <c r="V43" i="11"/>
  <c r="AA43" i="11"/>
  <c r="Z61" i="11"/>
  <c r="V61" i="11"/>
  <c r="AA61" i="11"/>
  <c r="M8" i="11"/>
  <c r="J10" i="11"/>
  <c r="D10" i="11"/>
  <c r="H11" i="11"/>
  <c r="M14" i="11"/>
  <c r="M15" i="11"/>
  <c r="M16" i="11"/>
  <c r="E47" i="11"/>
  <c r="E48" i="11"/>
  <c r="E65" i="11"/>
  <c r="E66" i="11"/>
  <c r="V47" i="11"/>
  <c r="V65" i="11"/>
  <c r="B14" i="13"/>
  <c r="B16" i="13" s="1"/>
  <c r="F37" i="11"/>
  <c r="S37" i="11"/>
  <c r="U37" i="11"/>
  <c r="V37" i="11"/>
  <c r="F55" i="11"/>
  <c r="V55" i="11"/>
  <c r="V44" i="11"/>
  <c r="W39" i="11"/>
  <c r="W40" i="11"/>
  <c r="W41" i="11"/>
  <c r="W42" i="11"/>
  <c r="W44" i="11"/>
  <c r="W46" i="11"/>
  <c r="Y39" i="11"/>
  <c r="Y40" i="11"/>
  <c r="V62" i="11"/>
  <c r="Y57" i="11"/>
  <c r="Y58" i="11"/>
  <c r="V48" i="11"/>
  <c r="V66" i="11"/>
  <c r="V42" i="11"/>
  <c r="V60" i="11"/>
  <c r="V38" i="11"/>
  <c r="Z39" i="11"/>
  <c r="V39" i="11"/>
  <c r="AA39" i="11"/>
  <c r="AA40" i="11"/>
  <c r="V56" i="11"/>
  <c r="Z57" i="11"/>
  <c r="AA57" i="11"/>
  <c r="AA58" i="11"/>
  <c r="AA59" i="11"/>
  <c r="F46" i="11"/>
  <c r="V46" i="11"/>
  <c r="F64" i="11"/>
  <c r="V64" i="11"/>
  <c r="E51" i="11"/>
  <c r="E69" i="11" s="1"/>
  <c r="A4" i="5"/>
  <c r="A5" i="5"/>
  <c r="A6" i="5"/>
  <c r="A7" i="5"/>
  <c r="C3" i="5"/>
  <c r="E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B19" i="5"/>
  <c r="B20" i="5"/>
  <c r="B21" i="5"/>
  <c r="B22" i="5"/>
  <c r="B23" i="5"/>
  <c r="B24" i="5"/>
  <c r="B25" i="5"/>
  <c r="B26" i="5"/>
  <c r="B27" i="5"/>
  <c r="C12" i="20"/>
  <c r="D18" i="16"/>
  <c r="D17" i="16"/>
  <c r="D19" i="16"/>
  <c r="E186" i="11"/>
  <c r="E136" i="11"/>
  <c r="E89" i="11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C4" i="18"/>
  <c r="B5" i="18"/>
  <c r="G32" i="1"/>
  <c r="D34" i="12"/>
  <c r="L18" i="16"/>
  <c r="L13" i="16"/>
  <c r="L14" i="16"/>
  <c r="L15" i="16"/>
  <c r="L16" i="16"/>
  <c r="L17" i="16"/>
  <c r="L19" i="16"/>
  <c r="L6" i="16"/>
  <c r="J6" i="16"/>
  <c r="C16" i="16"/>
  <c r="L7" i="16"/>
  <c r="L8" i="16"/>
  <c r="L9" i="16"/>
  <c r="L10" i="16"/>
  <c r="L11" i="16"/>
  <c r="L12" i="16"/>
  <c r="L5" i="16"/>
  <c r="C24" i="16"/>
  <c r="J7" i="16"/>
  <c r="C10" i="16"/>
  <c r="C11" i="16"/>
  <c r="C12" i="16"/>
  <c r="C13" i="16"/>
  <c r="F6" i="16"/>
  <c r="G5" i="16"/>
  <c r="H5" i="16"/>
  <c r="Z50" i="11"/>
  <c r="Z68" i="11"/>
  <c r="G9" i="11"/>
  <c r="G10" i="11"/>
  <c r="G12" i="11"/>
  <c r="G15" i="11"/>
  <c r="K15" i="11"/>
  <c r="G16" i="11"/>
  <c r="K16" i="11"/>
  <c r="G18" i="11"/>
  <c r="J8" i="11"/>
  <c r="C34" i="12"/>
  <c r="B34" i="12"/>
  <c r="D89" i="4"/>
  <c r="B89" i="4"/>
  <c r="E89" i="4"/>
  <c r="E90" i="4"/>
  <c r="E91" i="4"/>
  <c r="E92" i="4"/>
  <c r="E93" i="4"/>
  <c r="E94" i="4"/>
  <c r="E95" i="4"/>
  <c r="E96" i="4"/>
  <c r="E97" i="4"/>
  <c r="E98" i="4"/>
  <c r="E99" i="4"/>
  <c r="E87" i="4"/>
  <c r="H5" i="5"/>
  <c r="I5" i="5"/>
  <c r="K5" i="5"/>
  <c r="H6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I3" i="5"/>
  <c r="K3" i="5"/>
  <c r="I4" i="5"/>
  <c r="K4" i="5"/>
  <c r="J4" i="5"/>
  <c r="D13" i="4"/>
  <c r="B13" i="4"/>
  <c r="E82" i="4"/>
  <c r="E77" i="4"/>
  <c r="E73" i="4"/>
  <c r="E72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4" i="4"/>
  <c r="E75" i="4"/>
  <c r="E76" i="4"/>
  <c r="E78" i="4"/>
  <c r="E79" i="4"/>
  <c r="E80" i="4"/>
  <c r="E81" i="4"/>
  <c r="E83" i="4"/>
  <c r="E84" i="4"/>
  <c r="E85" i="4"/>
  <c r="E86" i="4"/>
  <c r="E54" i="4"/>
  <c r="E55" i="4"/>
  <c r="E56" i="4"/>
  <c r="E57" i="4"/>
  <c r="E29" i="4"/>
  <c r="E50" i="4"/>
  <c r="E51" i="4"/>
  <c r="E52" i="4"/>
  <c r="E53" i="4"/>
  <c r="E40" i="4"/>
  <c r="E41" i="4"/>
  <c r="E42" i="4"/>
  <c r="E43" i="4"/>
  <c r="E44" i="4"/>
  <c r="E45" i="4"/>
  <c r="E46" i="4"/>
  <c r="E47" i="4"/>
  <c r="E48" i="4"/>
  <c r="E49" i="4"/>
  <c r="E39" i="4"/>
  <c r="E38" i="4"/>
  <c r="E30" i="4"/>
  <c r="E31" i="4"/>
  <c r="E32" i="4"/>
  <c r="E33" i="4"/>
  <c r="E34" i="4"/>
  <c r="E35" i="4"/>
  <c r="E36" i="4"/>
  <c r="E37" i="4"/>
  <c r="E8" i="4"/>
  <c r="E9" i="4"/>
  <c r="E10" i="4"/>
  <c r="E11" i="4"/>
  <c r="E12" i="4"/>
  <c r="C13" i="4"/>
  <c r="E3" i="4"/>
  <c r="E4" i="4"/>
  <c r="E5" i="4"/>
  <c r="E6" i="4"/>
  <c r="E7" i="4"/>
  <c r="E2" i="4"/>
  <c r="E13" i="4"/>
  <c r="F8" i="1"/>
  <c r="A11" i="1" s="1"/>
  <c r="B17" i="1"/>
  <c r="E17" i="1"/>
  <c r="C5" i="1"/>
  <c r="L5" i="6"/>
  <c r="L6" i="6"/>
  <c r="H5" i="6"/>
  <c r="H6" i="6"/>
  <c r="B12" i="20"/>
  <c r="F17" i="11"/>
  <c r="G17" i="11"/>
  <c r="I13" i="11"/>
  <c r="I14" i="11"/>
  <c r="I15" i="11"/>
  <c r="I16" i="11"/>
  <c r="I17" i="11"/>
  <c r="J17" i="11"/>
  <c r="D17" i="11"/>
  <c r="K17" i="11"/>
  <c r="J69" i="11"/>
  <c r="J74" i="11"/>
  <c r="J78" i="11"/>
  <c r="J56" i="11"/>
  <c r="J60" i="11"/>
  <c r="J64" i="11"/>
  <c r="J55" i="11"/>
  <c r="J50" i="11"/>
  <c r="J40" i="11"/>
  <c r="J44" i="11"/>
  <c r="I76" i="11"/>
  <c r="I80" i="11"/>
  <c r="I62" i="11"/>
  <c r="I67" i="11"/>
  <c r="I71" i="11"/>
  <c r="I57" i="11"/>
  <c r="I53" i="11"/>
  <c r="I40" i="11"/>
  <c r="I44" i="11"/>
  <c r="I37" i="11"/>
  <c r="J59" i="11"/>
  <c r="I75" i="11"/>
  <c r="I56" i="11"/>
  <c r="I38" i="11"/>
  <c r="J70" i="11"/>
  <c r="J75" i="11"/>
  <c r="J79" i="11"/>
  <c r="J57" i="11"/>
  <c r="J61" i="11"/>
  <c r="J65" i="11"/>
  <c r="J47" i="11"/>
  <c r="J51" i="11"/>
  <c r="J41" i="11"/>
  <c r="J45" i="11"/>
  <c r="I77" i="11"/>
  <c r="I81" i="11"/>
  <c r="I63" i="11"/>
  <c r="I68" i="11"/>
  <c r="I72" i="11"/>
  <c r="I58" i="11"/>
  <c r="I48" i="11"/>
  <c r="I41" i="11"/>
  <c r="I45" i="11"/>
  <c r="I60" i="11"/>
  <c r="J72" i="11"/>
  <c r="J81" i="11"/>
  <c r="J63" i="11"/>
  <c r="J49" i="11"/>
  <c r="J43" i="11"/>
  <c r="I61" i="11"/>
  <c r="I70" i="11"/>
  <c r="I50" i="11"/>
  <c r="I47" i="11"/>
  <c r="J38" i="11"/>
  <c r="J37" i="11"/>
  <c r="J71" i="11"/>
  <c r="J76" i="11"/>
  <c r="J80" i="11"/>
  <c r="J58" i="11"/>
  <c r="J62" i="11"/>
  <c r="J67" i="11"/>
  <c r="J48" i="11"/>
  <c r="J52" i="11"/>
  <c r="J42" i="11"/>
  <c r="J46" i="11"/>
  <c r="I78" i="11"/>
  <c r="I74" i="11"/>
  <c r="I64" i="11"/>
  <c r="I69" i="11"/>
  <c r="I55" i="11"/>
  <c r="I51" i="11"/>
  <c r="I49" i="11"/>
  <c r="I42" i="11"/>
  <c r="I46" i="11"/>
  <c r="J68" i="11"/>
  <c r="J77" i="11"/>
  <c r="J53" i="11"/>
  <c r="J39" i="11"/>
  <c r="I79" i="11"/>
  <c r="I65" i="11"/>
  <c r="I52" i="11"/>
  <c r="I43" i="11"/>
  <c r="I59" i="11"/>
  <c r="I39" i="11"/>
  <c r="J66" i="11"/>
  <c r="I66" i="11"/>
  <c r="D4" i="18"/>
  <c r="C5" i="18"/>
  <c r="B6" i="18"/>
  <c r="C6" i="18"/>
  <c r="J5" i="5"/>
  <c r="F7" i="16"/>
  <c r="G6" i="16"/>
  <c r="C14" i="5"/>
  <c r="E14" i="5"/>
  <c r="C22" i="5"/>
  <c r="E22" i="5"/>
  <c r="C21" i="5"/>
  <c r="E21" i="5"/>
  <c r="D22" i="5"/>
  <c r="C18" i="5"/>
  <c r="E18" i="5"/>
  <c r="C8" i="5"/>
  <c r="E8" i="5"/>
  <c r="C12" i="5"/>
  <c r="E12" i="5"/>
  <c r="C16" i="5"/>
  <c r="E16" i="5"/>
  <c r="C15" i="5"/>
  <c r="E15" i="5"/>
  <c r="D16" i="5"/>
  <c r="C20" i="5"/>
  <c r="E20" i="5"/>
  <c r="C24" i="5"/>
  <c r="E24" i="5"/>
  <c r="C9" i="5"/>
  <c r="E9" i="5"/>
  <c r="D9" i="5"/>
  <c r="C13" i="5"/>
  <c r="E13" i="5"/>
  <c r="D13" i="5"/>
  <c r="C17" i="5"/>
  <c r="E17" i="5"/>
  <c r="D21" i="5"/>
  <c r="C25" i="5"/>
  <c r="E25" i="5"/>
  <c r="D25" i="5"/>
  <c r="C4" i="5"/>
  <c r="E4" i="5"/>
  <c r="D4" i="5"/>
  <c r="C5" i="5"/>
  <c r="E5" i="5"/>
  <c r="C6" i="5"/>
  <c r="E6" i="5"/>
  <c r="D6" i="5"/>
  <c r="C7" i="5"/>
  <c r="E7" i="5"/>
  <c r="D7" i="5"/>
  <c r="C11" i="5"/>
  <c r="E11" i="5"/>
  <c r="C10" i="5"/>
  <c r="E10" i="5"/>
  <c r="D11" i="5"/>
  <c r="D15" i="5"/>
  <c r="C19" i="5"/>
  <c r="E19" i="5"/>
  <c r="D19" i="5"/>
  <c r="C23" i="5"/>
  <c r="E23" i="5"/>
  <c r="C27" i="5"/>
  <c r="E27" i="5"/>
  <c r="C26" i="5"/>
  <c r="E26" i="5"/>
  <c r="D27" i="5"/>
  <c r="H7" i="5"/>
  <c r="I6" i="5"/>
  <c r="K6" i="5"/>
  <c r="J6" i="5"/>
  <c r="I7" i="5"/>
  <c r="K7" i="5"/>
  <c r="J7" i="5"/>
  <c r="J8" i="16"/>
  <c r="C23" i="16"/>
  <c r="C22" i="16"/>
  <c r="I13" i="4"/>
  <c r="J13" i="4"/>
  <c r="L13" i="4"/>
  <c r="G79" i="21"/>
  <c r="G78" i="21"/>
  <c r="I89" i="4"/>
  <c r="L89" i="4"/>
  <c r="B3" i="21"/>
  <c r="L81" i="11"/>
  <c r="L75" i="11"/>
  <c r="L77" i="11"/>
  <c r="L76" i="11"/>
  <c r="L74" i="11"/>
  <c r="L78" i="11"/>
  <c r="L79" i="11"/>
  <c r="L80" i="11"/>
  <c r="L48" i="11"/>
  <c r="L67" i="11"/>
  <c r="L37" i="11"/>
  <c r="L61" i="11"/>
  <c r="L50" i="11"/>
  <c r="L55" i="11"/>
  <c r="L69" i="11"/>
  <c r="L72" i="11"/>
  <c r="L71" i="11"/>
  <c r="D7" i="20"/>
  <c r="B15" i="20"/>
  <c r="L52" i="11"/>
  <c r="L65" i="11"/>
  <c r="L56" i="11"/>
  <c r="L38" i="11"/>
  <c r="L66" i="11"/>
  <c r="L51" i="11"/>
  <c r="L47" i="11"/>
  <c r="L49" i="11"/>
  <c r="L68" i="11"/>
  <c r="L70" i="11"/>
  <c r="L43" i="11"/>
  <c r="L63" i="11"/>
  <c r="L45" i="11"/>
  <c r="L53" i="11"/>
  <c r="D12" i="20"/>
  <c r="C14" i="20"/>
  <c r="B14" i="20"/>
  <c r="D14" i="20"/>
  <c r="E12" i="20"/>
  <c r="H50" i="11"/>
  <c r="H81" i="11"/>
  <c r="J9" i="11"/>
  <c r="D9" i="11"/>
  <c r="M9" i="11"/>
  <c r="H62" i="11"/>
  <c r="H39" i="11"/>
  <c r="B2" i="13"/>
  <c r="H41" i="11"/>
  <c r="H68" i="11"/>
  <c r="H63" i="11"/>
  <c r="I137" i="11"/>
  <c r="I187" i="11"/>
  <c r="M7" i="11"/>
  <c r="K21" i="11" s="1"/>
  <c r="K22" i="11" s="1"/>
  <c r="F88" i="11" s="1"/>
  <c r="J11" i="11"/>
  <c r="D11" i="11"/>
  <c r="M11" i="11"/>
  <c r="K7" i="11"/>
  <c r="F140" i="11" s="1"/>
  <c r="H59" i="11"/>
  <c r="H37" i="11"/>
  <c r="H42" i="11"/>
  <c r="H58" i="11"/>
  <c r="H55" i="11"/>
  <c r="H57" i="11"/>
  <c r="H61" i="11"/>
  <c r="H44" i="11"/>
  <c r="H40" i="11"/>
  <c r="H45" i="11"/>
  <c r="H56" i="11"/>
  <c r="H46" i="11"/>
  <c r="H43" i="11"/>
  <c r="H38" i="11"/>
  <c r="H64" i="11"/>
  <c r="M38" i="11"/>
  <c r="H79" i="11"/>
  <c r="H78" i="11"/>
  <c r="H74" i="11"/>
  <c r="H80" i="11"/>
  <c r="H77" i="11"/>
  <c r="H75" i="11"/>
  <c r="H76" i="11"/>
  <c r="M37" i="11"/>
  <c r="M74" i="11"/>
  <c r="M76" i="11"/>
  <c r="M75" i="11"/>
  <c r="M77" i="11"/>
  <c r="M78" i="11"/>
  <c r="M79" i="11"/>
  <c r="M80" i="11"/>
  <c r="K10" i="11"/>
  <c r="L39" i="11"/>
  <c r="Z40" i="11"/>
  <c r="V40" i="11"/>
  <c r="D20" i="13"/>
  <c r="E13" i="11"/>
  <c r="G13" i="11"/>
  <c r="I90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B22" i="13"/>
  <c r="AC55" i="11"/>
  <c r="M55" i="11"/>
  <c r="Y59" i="11"/>
  <c r="L58" i="11"/>
  <c r="W60" i="11"/>
  <c r="W62" i="11"/>
  <c r="W64" i="11"/>
  <c r="L57" i="11"/>
  <c r="B8" i="13"/>
  <c r="M42" i="11"/>
  <c r="M39" i="11"/>
  <c r="M10" i="11"/>
  <c r="V57" i="11"/>
  <c r="Z58" i="11"/>
  <c r="AB44" i="11"/>
  <c r="M43" i="11"/>
  <c r="AA41" i="11"/>
  <c r="Y41" i="11"/>
  <c r="L40" i="11"/>
  <c r="M25" i="11"/>
  <c r="B15" i="13"/>
  <c r="B17" i="13" s="1"/>
  <c r="F51" i="11" s="1"/>
  <c r="F52" i="11" s="1"/>
  <c r="D5" i="18"/>
  <c r="H6" i="16"/>
  <c r="D23" i="5"/>
  <c r="D12" i="5"/>
  <c r="F8" i="16"/>
  <c r="G7" i="16"/>
  <c r="H7" i="16"/>
  <c r="D10" i="5"/>
  <c r="J9" i="16"/>
  <c r="H8" i="5"/>
  <c r="D24" i="5"/>
  <c r="D8" i="5"/>
  <c r="B4" i="13"/>
  <c r="B3" i="13"/>
  <c r="N5" i="5"/>
  <c r="G80" i="21"/>
  <c r="G81" i="21"/>
  <c r="D26" i="5"/>
  <c r="I8" i="5"/>
  <c r="K8" i="5"/>
  <c r="J8" i="5"/>
  <c r="D5" i="5"/>
  <c r="D17" i="5"/>
  <c r="D20" i="5"/>
  <c r="D18" i="5"/>
  <c r="D14" i="5"/>
  <c r="D6" i="18"/>
  <c r="B7" i="18"/>
  <c r="C7" i="18"/>
  <c r="F190" i="11"/>
  <c r="I190" i="11" s="1"/>
  <c r="C15" i="20"/>
  <c r="D15" i="20"/>
  <c r="E15" i="20"/>
  <c r="J36" i="4"/>
  <c r="J40" i="4"/>
  <c r="J44" i="4"/>
  <c r="J52" i="4"/>
  <c r="J64" i="4"/>
  <c r="J68" i="4"/>
  <c r="J80" i="4"/>
  <c r="J84" i="4"/>
  <c r="J88" i="4"/>
  <c r="J96" i="4"/>
  <c r="J100" i="4"/>
  <c r="J108" i="4"/>
  <c r="J116" i="4"/>
  <c r="J124" i="4"/>
  <c r="J128" i="4"/>
  <c r="J83" i="4"/>
  <c r="J119" i="4"/>
  <c r="J10" i="4"/>
  <c r="J37" i="4"/>
  <c r="J41" i="4"/>
  <c r="J53" i="4"/>
  <c r="J61" i="4"/>
  <c r="J65" i="4"/>
  <c r="J73" i="4"/>
  <c r="J85" i="4"/>
  <c r="J89" i="4"/>
  <c r="J93" i="4"/>
  <c r="J101" i="4"/>
  <c r="J109" i="4"/>
  <c r="J113" i="4"/>
  <c r="J125" i="4"/>
  <c r="J129" i="4"/>
  <c r="J2" i="4"/>
  <c r="J47" i="4"/>
  <c r="J63" i="4"/>
  <c r="J71" i="4"/>
  <c r="J99" i="4"/>
  <c r="J107" i="4"/>
  <c r="J115" i="4"/>
  <c r="J7" i="4"/>
  <c r="J34" i="4"/>
  <c r="J46" i="4"/>
  <c r="J54" i="4"/>
  <c r="J62" i="4"/>
  <c r="J74" i="4"/>
  <c r="J78" i="4"/>
  <c r="J86" i="4"/>
  <c r="J102" i="4"/>
  <c r="J106" i="4"/>
  <c r="J110" i="4"/>
  <c r="J122" i="4"/>
  <c r="J126" i="4"/>
  <c r="J4" i="4"/>
  <c r="J39" i="4"/>
  <c r="J67" i="4"/>
  <c r="J75" i="4"/>
  <c r="J103" i="4"/>
  <c r="J111" i="4"/>
  <c r="J123" i="4"/>
  <c r="K9" i="11"/>
  <c r="I189" i="11"/>
  <c r="D2" i="13"/>
  <c r="D3" i="13"/>
  <c r="M40" i="11"/>
  <c r="Z41" i="11"/>
  <c r="V41" i="11"/>
  <c r="M41" i="11"/>
  <c r="AC56" i="11"/>
  <c r="M56" i="11"/>
  <c r="B9" i="13"/>
  <c r="B10" i="13"/>
  <c r="Y60" i="11"/>
  <c r="L59" i="11"/>
  <c r="I188" i="11"/>
  <c r="I138" i="11"/>
  <c r="I91" i="11"/>
  <c r="K12" i="11"/>
  <c r="M12" i="11"/>
  <c r="V58" i="11"/>
  <c r="Z59" i="11"/>
  <c r="V59" i="11"/>
  <c r="J13" i="11"/>
  <c r="D13" i="11"/>
  <c r="Y42" i="11"/>
  <c r="L41" i="11"/>
  <c r="AB45" i="11"/>
  <c r="M44" i="11"/>
  <c r="D7" i="18"/>
  <c r="B8" i="18"/>
  <c r="C8" i="18"/>
  <c r="H9" i="5"/>
  <c r="I9" i="5"/>
  <c r="K9" i="5"/>
  <c r="J9" i="5"/>
  <c r="F9" i="16"/>
  <c r="G8" i="16"/>
  <c r="H8" i="16"/>
  <c r="G82" i="21"/>
  <c r="G83" i="21"/>
  <c r="G84" i="21"/>
  <c r="J10" i="16"/>
  <c r="C9" i="16"/>
  <c r="E11" i="11"/>
  <c r="G11" i="11"/>
  <c r="K11" i="11"/>
  <c r="B5" i="13"/>
  <c r="F47" i="11"/>
  <c r="AC57" i="11"/>
  <c r="M57" i="11"/>
  <c r="B11" i="13"/>
  <c r="F67" i="11"/>
  <c r="Y62" i="11"/>
  <c r="L60" i="11"/>
  <c r="M45" i="11"/>
  <c r="AB46" i="11"/>
  <c r="M13" i="11"/>
  <c r="K13" i="11"/>
  <c r="J14" i="11"/>
  <c r="Y44" i="11"/>
  <c r="L42" i="11"/>
  <c r="G9" i="16"/>
  <c r="F10" i="16"/>
  <c r="J11" i="16"/>
  <c r="H10" i="5"/>
  <c r="H9" i="16"/>
  <c r="B9" i="18"/>
  <c r="C9" i="18"/>
  <c r="D8" i="18"/>
  <c r="G86" i="21"/>
  <c r="G85" i="21"/>
  <c r="F66" i="11"/>
  <c r="F65" i="11"/>
  <c r="AC58" i="11"/>
  <c r="M58" i="11"/>
  <c r="F48" i="11"/>
  <c r="F49" i="11"/>
  <c r="L62" i="11"/>
  <c r="Y64" i="11"/>
  <c r="L64" i="11"/>
  <c r="AB47" i="11"/>
  <c r="M46" i="11"/>
  <c r="L44" i="11"/>
  <c r="Y46" i="11"/>
  <c r="L46" i="11"/>
  <c r="J15" i="11"/>
  <c r="D9" i="18"/>
  <c r="B10" i="18"/>
  <c r="C10" i="18"/>
  <c r="H11" i="5"/>
  <c r="I10" i="5"/>
  <c r="K10" i="5"/>
  <c r="J10" i="5"/>
  <c r="I11" i="5"/>
  <c r="K11" i="5"/>
  <c r="J11" i="5"/>
  <c r="J12" i="16"/>
  <c r="C21" i="16"/>
  <c r="F11" i="16"/>
  <c r="G10" i="16"/>
  <c r="AC59" i="11"/>
  <c r="M59" i="11"/>
  <c r="J16" i="11"/>
  <c r="AB48" i="11"/>
  <c r="M47" i="11"/>
  <c r="D10" i="18"/>
  <c r="B11" i="18"/>
  <c r="C11" i="18"/>
  <c r="J13" i="16"/>
  <c r="J14" i="16"/>
  <c r="J15" i="16"/>
  <c r="J16" i="16"/>
  <c r="J17" i="16"/>
  <c r="J18" i="16"/>
  <c r="J19" i="16"/>
  <c r="C18" i="16"/>
  <c r="C17" i="16"/>
  <c r="C19" i="16"/>
  <c r="F12" i="16"/>
  <c r="G11" i="16"/>
  <c r="C15" i="16"/>
  <c r="H12" i="5"/>
  <c r="I12" i="5"/>
  <c r="K12" i="5"/>
  <c r="J12" i="5"/>
  <c r="H10" i="16"/>
  <c r="H11" i="16"/>
  <c r="AC60" i="11"/>
  <c r="AC61" i="11"/>
  <c r="AB49" i="11"/>
  <c r="M48" i="11"/>
  <c r="I18" i="11"/>
  <c r="D11" i="18"/>
  <c r="B12" i="18"/>
  <c r="C12" i="18"/>
  <c r="G12" i="16"/>
  <c r="F13" i="16"/>
  <c r="H13" i="5"/>
  <c r="I13" i="5"/>
  <c r="K13" i="5"/>
  <c r="J13" i="5"/>
  <c r="L7" i="6"/>
  <c r="H7" i="6"/>
  <c r="C20" i="16"/>
  <c r="M60" i="11"/>
  <c r="J18" i="11"/>
  <c r="D18" i="11"/>
  <c r="I204" i="11"/>
  <c r="I19" i="11"/>
  <c r="J19" i="11"/>
  <c r="D19" i="11"/>
  <c r="M17" i="11"/>
  <c r="AB50" i="11"/>
  <c r="M49" i="11"/>
  <c r="M61" i="11"/>
  <c r="AC62" i="11"/>
  <c r="B13" i="18"/>
  <c r="C13" i="18"/>
  <c r="D12" i="18"/>
  <c r="G13" i="16"/>
  <c r="F14" i="16"/>
  <c r="H12" i="16"/>
  <c r="H13" i="16"/>
  <c r="J7" i="6"/>
  <c r="H14" i="5"/>
  <c r="I142" i="11"/>
  <c r="I192" i="11"/>
  <c r="M19" i="11"/>
  <c r="K19" i="11"/>
  <c r="M50" i="11"/>
  <c r="AB51" i="11"/>
  <c r="M18" i="11"/>
  <c r="I191" i="11"/>
  <c r="I106" i="11"/>
  <c r="I154" i="11"/>
  <c r="K18" i="11"/>
  <c r="M62" i="11"/>
  <c r="AC63" i="11"/>
  <c r="D13" i="18"/>
  <c r="B14" i="18"/>
  <c r="C14" i="18"/>
  <c r="H15" i="5"/>
  <c r="I14" i="5"/>
  <c r="K14" i="5"/>
  <c r="J14" i="5"/>
  <c r="G14" i="16"/>
  <c r="H14" i="16"/>
  <c r="F15" i="16"/>
  <c r="AB52" i="11"/>
  <c r="M51" i="11"/>
  <c r="AC64" i="11"/>
  <c r="M63" i="11"/>
  <c r="G15" i="16"/>
  <c r="H15" i="16"/>
  <c r="F16" i="16"/>
  <c r="B15" i="18"/>
  <c r="C15" i="18"/>
  <c r="D14" i="18"/>
  <c r="H16" i="5"/>
  <c r="I15" i="5"/>
  <c r="K15" i="5"/>
  <c r="J15" i="5"/>
  <c r="AB53" i="11"/>
  <c r="M53" i="11"/>
  <c r="M52" i="11"/>
  <c r="AC65" i="11"/>
  <c r="M64" i="11"/>
  <c r="H17" i="5"/>
  <c r="I16" i="5"/>
  <c r="K16" i="5"/>
  <c r="J16" i="5"/>
  <c r="D15" i="18"/>
  <c r="B16" i="18"/>
  <c r="C16" i="18"/>
  <c r="G16" i="16"/>
  <c r="H16" i="16"/>
  <c r="F17" i="16"/>
  <c r="M65" i="11"/>
  <c r="AC66" i="11"/>
  <c r="D16" i="18"/>
  <c r="B17" i="18"/>
  <c r="C17" i="18"/>
  <c r="F18" i="16"/>
  <c r="G17" i="16"/>
  <c r="H17" i="16"/>
  <c r="H18" i="5"/>
  <c r="I17" i="5"/>
  <c r="K17" i="5"/>
  <c r="J17" i="5"/>
  <c r="AC67" i="11"/>
  <c r="M66" i="11"/>
  <c r="B18" i="18"/>
  <c r="C18" i="18"/>
  <c r="D17" i="18"/>
  <c r="H19" i="5"/>
  <c r="I18" i="5"/>
  <c r="K18" i="5"/>
  <c r="J18" i="5"/>
  <c r="F19" i="16"/>
  <c r="G18" i="16"/>
  <c r="H18" i="16"/>
  <c r="M67" i="11"/>
  <c r="AC68" i="11"/>
  <c r="B19" i="18"/>
  <c r="C19" i="18"/>
  <c r="D18" i="18"/>
  <c r="H20" i="5"/>
  <c r="I19" i="5"/>
  <c r="K19" i="5"/>
  <c r="J19" i="5"/>
  <c r="G19" i="16"/>
  <c r="H19" i="16"/>
  <c r="F20" i="16"/>
  <c r="AC69" i="11"/>
  <c r="M68" i="11"/>
  <c r="G20" i="16"/>
  <c r="H20" i="16"/>
  <c r="F21" i="16"/>
  <c r="H21" i="5"/>
  <c r="I20" i="5"/>
  <c r="K20" i="5"/>
  <c r="J20" i="5"/>
  <c r="C20" i="18"/>
  <c r="D19" i="18"/>
  <c r="M69" i="11"/>
  <c r="AC70" i="11"/>
  <c r="H22" i="5"/>
  <c r="I21" i="5"/>
  <c r="K21" i="5"/>
  <c r="J21" i="5"/>
  <c r="F22" i="16"/>
  <c r="G21" i="16"/>
  <c r="H21" i="16"/>
  <c r="D20" i="18"/>
  <c r="C21" i="18"/>
  <c r="M70" i="11"/>
  <c r="AC71" i="11"/>
  <c r="C22" i="18"/>
  <c r="D21" i="18"/>
  <c r="H23" i="5"/>
  <c r="I22" i="5"/>
  <c r="K22" i="5"/>
  <c r="J22" i="5"/>
  <c r="F23" i="16"/>
  <c r="G22" i="16"/>
  <c r="H22" i="16"/>
  <c r="AC72" i="11"/>
  <c r="M72" i="11"/>
  <c r="M71" i="11"/>
  <c r="H24" i="5"/>
  <c r="I23" i="5"/>
  <c r="K23" i="5"/>
  <c r="J23" i="5"/>
  <c r="G23" i="16"/>
  <c r="H23" i="16"/>
  <c r="F24" i="16"/>
  <c r="C23" i="18"/>
  <c r="D22" i="18"/>
  <c r="D23" i="18"/>
  <c r="C24" i="18"/>
  <c r="H25" i="5"/>
  <c r="I24" i="5"/>
  <c r="K24" i="5"/>
  <c r="J24" i="5"/>
  <c r="F25" i="16"/>
  <c r="G24" i="16"/>
  <c r="H24" i="16"/>
  <c r="D7" i="6"/>
  <c r="F7" i="6"/>
  <c r="D9" i="6"/>
  <c r="H26" i="5"/>
  <c r="I25" i="5"/>
  <c r="K25" i="5"/>
  <c r="J25" i="5"/>
  <c r="C25" i="18"/>
  <c r="D24" i="18"/>
  <c r="J9" i="6"/>
  <c r="G25" i="16"/>
  <c r="H25" i="16"/>
  <c r="F26" i="16"/>
  <c r="G26" i="16"/>
  <c r="H26" i="16"/>
  <c r="F27" i="16"/>
  <c r="D25" i="18"/>
  <c r="C26" i="18"/>
  <c r="H27" i="5"/>
  <c r="I27" i="5"/>
  <c r="K27" i="5"/>
  <c r="I26" i="5"/>
  <c r="K26" i="5"/>
  <c r="J27" i="5"/>
  <c r="J26" i="5"/>
  <c r="G27" i="16"/>
  <c r="H27" i="16"/>
  <c r="F28" i="16"/>
  <c r="D26" i="18"/>
  <c r="C27" i="18"/>
  <c r="C28" i="18"/>
  <c r="D27" i="18"/>
  <c r="G28" i="16"/>
  <c r="H28" i="16"/>
  <c r="F29" i="16"/>
  <c r="F30" i="16"/>
  <c r="G29" i="16"/>
  <c r="H29" i="16"/>
  <c r="D28" i="18"/>
  <c r="C29" i="18"/>
  <c r="D29" i="18"/>
  <c r="C30" i="18"/>
  <c r="G30" i="16"/>
  <c r="H30" i="16"/>
  <c r="F31" i="16"/>
  <c r="F32" i="16"/>
  <c r="G31" i="16"/>
  <c r="H31" i="16"/>
  <c r="C31" i="18"/>
  <c r="D30" i="18"/>
  <c r="C32" i="18"/>
  <c r="D31" i="18"/>
  <c r="F33" i="16"/>
  <c r="G32" i="16"/>
  <c r="H32" i="16"/>
  <c r="F34" i="16"/>
  <c r="G33" i="16"/>
  <c r="H33" i="16"/>
  <c r="D32" i="18"/>
  <c r="C33" i="18"/>
  <c r="C34" i="18"/>
  <c r="D33" i="18"/>
  <c r="G34" i="16"/>
  <c r="H34" i="16"/>
  <c r="F35" i="16"/>
  <c r="F36" i="16"/>
  <c r="G35" i="16"/>
  <c r="H35" i="16"/>
  <c r="D34" i="18"/>
  <c r="G36" i="16"/>
  <c r="H36" i="16"/>
  <c r="F37" i="16"/>
  <c r="F38" i="16"/>
  <c r="G37" i="16"/>
  <c r="H37" i="16"/>
  <c r="G38" i="16"/>
  <c r="H38" i="16"/>
  <c r="F39" i="16"/>
  <c r="F40" i="16"/>
  <c r="G39" i="16"/>
  <c r="H39" i="16"/>
  <c r="F41" i="16"/>
  <c r="G40" i="16"/>
  <c r="H40" i="16"/>
  <c r="F42" i="16"/>
  <c r="G41" i="16"/>
  <c r="H41" i="16"/>
  <c r="G42" i="16"/>
  <c r="H42" i="16"/>
  <c r="F43" i="16"/>
  <c r="F44" i="16"/>
  <c r="G43" i="16"/>
  <c r="H43" i="16"/>
  <c r="G44" i="16"/>
  <c r="H44" i="16"/>
  <c r="F45" i="16"/>
  <c r="F46" i="16"/>
  <c r="G45" i="16"/>
  <c r="H45" i="16"/>
  <c r="G46" i="16"/>
  <c r="H46" i="16"/>
  <c r="F47" i="16"/>
  <c r="F48" i="16"/>
  <c r="G47" i="16"/>
  <c r="H47" i="16"/>
  <c r="F49" i="16"/>
  <c r="G48" i="16"/>
  <c r="H48" i="16"/>
  <c r="F50" i="16"/>
  <c r="G49" i="16"/>
  <c r="H49" i="16"/>
  <c r="G50" i="16"/>
  <c r="H50" i="16"/>
  <c r="F51" i="16"/>
  <c r="F52" i="16"/>
  <c r="G51" i="16"/>
  <c r="H51" i="16"/>
  <c r="G52" i="16"/>
  <c r="H52" i="16"/>
  <c r="F53" i="16"/>
  <c r="F54" i="16"/>
  <c r="G53" i="16"/>
  <c r="H53" i="16"/>
  <c r="G54" i="16"/>
  <c r="H54" i="16"/>
  <c r="F55" i="16"/>
  <c r="F56" i="16"/>
  <c r="G55" i="16"/>
  <c r="H55" i="16"/>
  <c r="F57" i="16"/>
  <c r="G56" i="16"/>
  <c r="H56" i="16"/>
  <c r="F58" i="16"/>
  <c r="G57" i="16"/>
  <c r="H57" i="16"/>
  <c r="G58" i="16"/>
  <c r="H58" i="16"/>
  <c r="F59" i="16"/>
  <c r="F60" i="16"/>
  <c r="G59" i="16"/>
  <c r="H59" i="16"/>
  <c r="G60" i="16"/>
  <c r="H60" i="16"/>
  <c r="F61" i="16"/>
  <c r="F62" i="16"/>
  <c r="G61" i="16"/>
  <c r="H61" i="16"/>
  <c r="G62" i="16"/>
  <c r="H62" i="16"/>
  <c r="F63" i="16"/>
  <c r="F64" i="16"/>
  <c r="G63" i="16"/>
  <c r="H63" i="16"/>
  <c r="F65" i="16"/>
  <c r="G64" i="16"/>
  <c r="H64" i="16"/>
  <c r="F66" i="16"/>
  <c r="G65" i="16"/>
  <c r="H65" i="16"/>
  <c r="G66" i="16"/>
  <c r="H66" i="16"/>
  <c r="F67" i="16"/>
  <c r="F68" i="16"/>
  <c r="G67" i="16"/>
  <c r="H67" i="16"/>
  <c r="G68" i="16"/>
  <c r="H68" i="16"/>
  <c r="F69" i="16"/>
  <c r="F70" i="16"/>
  <c r="G69" i="16"/>
  <c r="H69" i="16"/>
  <c r="G70" i="16"/>
  <c r="H70" i="16"/>
  <c r="F71" i="16"/>
  <c r="F72" i="16"/>
  <c r="G71" i="16"/>
  <c r="H71" i="16"/>
  <c r="F73" i="16"/>
  <c r="G72" i="16"/>
  <c r="H72" i="16"/>
  <c r="F74" i="16"/>
  <c r="G73" i="16"/>
  <c r="H73" i="16"/>
  <c r="G74" i="16"/>
  <c r="H74" i="16"/>
  <c r="F75" i="16"/>
  <c r="F76" i="16"/>
  <c r="G75" i="16"/>
  <c r="H75" i="16"/>
  <c r="G76" i="16"/>
  <c r="H76" i="16"/>
  <c r="F77" i="16"/>
  <c r="F78" i="16"/>
  <c r="G77" i="16"/>
  <c r="H77" i="16"/>
  <c r="G78" i="16"/>
  <c r="H78" i="16"/>
  <c r="F79" i="16"/>
  <c r="F80" i="16"/>
  <c r="G79" i="16"/>
  <c r="H79" i="16"/>
  <c r="G80" i="16"/>
  <c r="H80" i="16"/>
  <c r="F81" i="16"/>
  <c r="F82" i="16"/>
  <c r="G81" i="16"/>
  <c r="H81" i="16"/>
  <c r="G82" i="16"/>
  <c r="H82" i="16"/>
  <c r="F83" i="16"/>
  <c r="F84" i="16"/>
  <c r="G83" i="16"/>
  <c r="H83" i="16"/>
  <c r="F85" i="16"/>
  <c r="G84" i="16"/>
  <c r="H84" i="16"/>
  <c r="F86" i="16"/>
  <c r="G85" i="16"/>
  <c r="H85" i="16"/>
  <c r="G86" i="16"/>
  <c r="H86" i="16"/>
  <c r="F87" i="16"/>
  <c r="F88" i="16"/>
  <c r="G87" i="16"/>
  <c r="H87" i="16"/>
  <c r="F89" i="16"/>
  <c r="G88" i="16"/>
  <c r="H88" i="16"/>
  <c r="G89" i="16"/>
  <c r="H89" i="16"/>
  <c r="F90" i="16"/>
  <c r="G90" i="16"/>
  <c r="H90" i="16"/>
  <c r="F91" i="16"/>
  <c r="F92" i="16"/>
  <c r="G91" i="16"/>
  <c r="H91" i="16"/>
  <c r="G92" i="16"/>
  <c r="H92" i="16"/>
  <c r="F93" i="16"/>
  <c r="G93" i="16"/>
  <c r="H93" i="16"/>
  <c r="F94" i="16"/>
  <c r="G94" i="16"/>
  <c r="H94" i="16"/>
  <c r="F95" i="16"/>
  <c r="G95" i="16"/>
  <c r="H95" i="16"/>
  <c r="F96" i="16"/>
  <c r="G96" i="16"/>
  <c r="H96" i="16"/>
  <c r="F97" i="16"/>
  <c r="F98" i="16"/>
  <c r="G97" i="16"/>
  <c r="H97" i="16"/>
  <c r="G98" i="16"/>
  <c r="H98" i="16"/>
  <c r="F99" i="16"/>
  <c r="F100" i="16"/>
  <c r="G99" i="16"/>
  <c r="H99" i="16"/>
  <c r="F101" i="16"/>
  <c r="G100" i="16"/>
  <c r="H100" i="16"/>
  <c r="G101" i="16"/>
  <c r="H101" i="16"/>
  <c r="F102" i="16"/>
  <c r="G102" i="16"/>
  <c r="H102" i="16"/>
  <c r="F103" i="16"/>
  <c r="F104" i="16"/>
  <c r="G103" i="16"/>
  <c r="H103" i="16"/>
  <c r="F105" i="16"/>
  <c r="G104" i="16"/>
  <c r="H104" i="16"/>
  <c r="G105" i="16"/>
  <c r="H105" i="16"/>
  <c r="F106" i="16"/>
  <c r="G106" i="16"/>
  <c r="H106" i="16"/>
  <c r="F107" i="16"/>
  <c r="F108" i="16"/>
  <c r="G107" i="16"/>
  <c r="H107" i="16"/>
  <c r="G108" i="16"/>
  <c r="H108" i="16"/>
  <c r="F109" i="16"/>
  <c r="G109" i="16"/>
  <c r="H109" i="16"/>
  <c r="F110" i="16"/>
  <c r="G110" i="16"/>
  <c r="H110" i="16"/>
  <c r="F111" i="16"/>
  <c r="G111" i="16"/>
  <c r="H111" i="16"/>
  <c r="F112" i="16"/>
  <c r="G112" i="16"/>
  <c r="H112" i="16"/>
  <c r="F113" i="16"/>
  <c r="F114" i="16"/>
  <c r="G113" i="16"/>
  <c r="H113" i="16"/>
  <c r="G114" i="16"/>
  <c r="H114" i="16"/>
  <c r="F115" i="16"/>
  <c r="F116" i="16"/>
  <c r="G115" i="16"/>
  <c r="H115" i="16"/>
  <c r="F117" i="16"/>
  <c r="G116" i="16"/>
  <c r="H116" i="16"/>
  <c r="G117" i="16"/>
  <c r="H117" i="16"/>
  <c r="F118" i="16"/>
  <c r="G118" i="16"/>
  <c r="H118" i="16"/>
  <c r="F119" i="16"/>
  <c r="F120" i="16"/>
  <c r="G119" i="16"/>
  <c r="H119" i="16"/>
  <c r="F121" i="16"/>
  <c r="G120" i="16"/>
  <c r="H120" i="16"/>
  <c r="F122" i="16"/>
  <c r="G121" i="16"/>
  <c r="H121" i="16"/>
  <c r="G122" i="16"/>
  <c r="H122" i="16"/>
  <c r="F123" i="16"/>
  <c r="F124" i="16"/>
  <c r="G123" i="16"/>
  <c r="H123" i="16"/>
  <c r="G124" i="16"/>
  <c r="H124" i="16"/>
  <c r="F125" i="16"/>
  <c r="F126" i="16"/>
  <c r="G125" i="16"/>
  <c r="H125" i="16"/>
  <c r="G126" i="16"/>
  <c r="H126" i="16"/>
  <c r="F127" i="16"/>
  <c r="F128" i="16"/>
  <c r="G127" i="16"/>
  <c r="H127" i="16"/>
  <c r="G128" i="16"/>
  <c r="H128" i="16"/>
  <c r="F129" i="16"/>
  <c r="F130" i="16"/>
  <c r="G129" i="16"/>
  <c r="H129" i="16"/>
  <c r="G130" i="16"/>
  <c r="H130" i="16"/>
  <c r="F131" i="16"/>
  <c r="F132" i="16"/>
  <c r="G131" i="16"/>
  <c r="H131" i="16"/>
  <c r="F133" i="16"/>
  <c r="G132" i="16"/>
  <c r="H132" i="16"/>
  <c r="F134" i="16"/>
  <c r="G133" i="16"/>
  <c r="H133" i="16"/>
  <c r="G134" i="16"/>
  <c r="H134" i="16"/>
  <c r="F135" i="16"/>
  <c r="F136" i="16"/>
  <c r="G135" i="16"/>
  <c r="H135" i="16"/>
  <c r="F137" i="16"/>
  <c r="G136" i="16"/>
  <c r="H136" i="16"/>
  <c r="F138" i="16"/>
  <c r="G137" i="16"/>
  <c r="H137" i="16"/>
  <c r="G138" i="16"/>
  <c r="H138" i="16"/>
  <c r="F139" i="16"/>
  <c r="F140" i="16"/>
  <c r="G140" i="16"/>
  <c r="G139" i="16"/>
  <c r="H140" i="16"/>
  <c r="B4" i="16"/>
  <c r="B6" i="16"/>
  <c r="H139" i="16"/>
  <c r="L91" i="4"/>
  <c r="L49" i="4"/>
  <c r="L132" i="4"/>
  <c r="L29" i="4"/>
  <c r="L45" i="4"/>
  <c r="L61" i="4"/>
  <c r="L77" i="4"/>
  <c r="L93" i="4"/>
  <c r="L12" i="4"/>
  <c r="L43" i="4"/>
  <c r="L59" i="4"/>
  <c r="L75" i="4"/>
  <c r="L103" i="4"/>
  <c r="L111" i="4"/>
  <c r="L119" i="4"/>
  <c r="L127" i="4"/>
  <c r="I8" i="4"/>
  <c r="L7" i="4"/>
  <c r="L86" i="4"/>
  <c r="L73" i="4"/>
  <c r="L30" i="4"/>
  <c r="L3" i="4"/>
  <c r="L34" i="4"/>
  <c r="L50" i="4"/>
  <c r="L66" i="4"/>
  <c r="L82" i="4"/>
  <c r="L98" i="4"/>
  <c r="L32" i="4"/>
  <c r="M32" i="4" s="1"/>
  <c r="L48" i="4"/>
  <c r="L64" i="4"/>
  <c r="L80" i="4"/>
  <c r="L96" i="4"/>
  <c r="L105" i="4"/>
  <c r="L113" i="4"/>
  <c r="L121" i="4"/>
  <c r="L129" i="4"/>
  <c r="L65" i="4"/>
  <c r="L38" i="4"/>
  <c r="L10" i="4"/>
  <c r="I2" i="4"/>
  <c r="L94" i="4"/>
  <c r="O37" i="11"/>
  <c r="O55" i="11"/>
  <c r="O56" i="11"/>
  <c r="O38" i="11"/>
  <c r="O39" i="11"/>
  <c r="O57" i="11"/>
  <c r="O58" i="11"/>
  <c r="O40" i="11"/>
  <c r="O41" i="11"/>
  <c r="O59" i="11"/>
  <c r="O60" i="11"/>
  <c r="O42" i="11"/>
  <c r="O61" i="11"/>
  <c r="O43" i="11"/>
  <c r="O44" i="11"/>
  <c r="O62" i="11"/>
  <c r="O63" i="11"/>
  <c r="O45" i="11"/>
  <c r="O46" i="11"/>
  <c r="O64" i="11"/>
  <c r="O65" i="11"/>
  <c r="O47" i="11"/>
  <c r="O48" i="11"/>
  <c r="O66" i="11"/>
  <c r="O67" i="11"/>
  <c r="O49" i="11"/>
  <c r="O50" i="11"/>
  <c r="O68" i="11"/>
  <c r="O69" i="11"/>
  <c r="O51" i="11"/>
  <c r="O52" i="11"/>
  <c r="O70" i="11"/>
  <c r="O71" i="11"/>
  <c r="O53" i="11"/>
  <c r="O72" i="11"/>
  <c r="O74" i="11"/>
  <c r="O75" i="11"/>
  <c r="O76" i="11"/>
  <c r="O77" i="11"/>
  <c r="O78" i="11"/>
  <c r="O79" i="11"/>
  <c r="O80" i="11"/>
  <c r="O81" i="11"/>
  <c r="F69" i="11" l="1"/>
  <c r="F70" i="11"/>
  <c r="E70" i="11"/>
  <c r="E52" i="11"/>
  <c r="E53" i="11" s="1"/>
  <c r="F72" i="11"/>
  <c r="F53" i="11"/>
  <c r="I109" i="4"/>
  <c r="M109" i="4" s="1"/>
  <c r="I56" i="4"/>
  <c r="I91" i="4"/>
  <c r="M91" i="4" s="1"/>
  <c r="I121" i="4"/>
  <c r="M121" i="4" s="1"/>
  <c r="I131" i="4"/>
  <c r="K131" i="4" s="1"/>
  <c r="I65" i="4"/>
  <c r="I124" i="4"/>
  <c r="K124" i="4" s="1"/>
  <c r="I127" i="4"/>
  <c r="M127" i="4" s="1"/>
  <c r="I51" i="4"/>
  <c r="I54" i="4"/>
  <c r="I130" i="4"/>
  <c r="M130" i="4" s="1"/>
  <c r="I46" i="4"/>
  <c r="K46" i="4" s="1"/>
  <c r="I120" i="4"/>
  <c r="M120" i="4" s="1"/>
  <c r="K35" i="4"/>
  <c r="I45" i="4"/>
  <c r="M45" i="4" s="1"/>
  <c r="I11" i="4"/>
  <c r="I3" i="4"/>
  <c r="M3" i="4" s="1"/>
  <c r="I7" i="4"/>
  <c r="I76" i="4"/>
  <c r="I12" i="4"/>
  <c r="M12" i="4" s="1"/>
  <c r="I67" i="4"/>
  <c r="K67" i="4" s="1"/>
  <c r="K30" i="4"/>
  <c r="I90" i="4"/>
  <c r="M34" i="4"/>
  <c r="L31" i="4"/>
  <c r="I47" i="4"/>
  <c r="K47" i="4" s="1"/>
  <c r="I108" i="4"/>
  <c r="M108" i="4" s="1"/>
  <c r="L55" i="4"/>
  <c r="M55" i="4" s="1"/>
  <c r="I52" i="4"/>
  <c r="K52" i="4" s="1"/>
  <c r="I68" i="4"/>
  <c r="K68" i="4" s="1"/>
  <c r="I60" i="4"/>
  <c r="M49" i="4"/>
  <c r="M82" i="4"/>
  <c r="K89" i="4"/>
  <c r="K10" i="4"/>
  <c r="L5" i="4"/>
  <c r="M5" i="4" s="1"/>
  <c r="L95" i="4"/>
  <c r="M95" i="4" s="1"/>
  <c r="M10" i="4"/>
  <c r="M7" i="4"/>
  <c r="L110" i="4"/>
  <c r="K86" i="4"/>
  <c r="K7" i="4"/>
  <c r="L63" i="4"/>
  <c r="L114" i="4"/>
  <c r="K125" i="4"/>
  <c r="L39" i="4"/>
  <c r="M39" i="4" s="1"/>
  <c r="L87" i="4"/>
  <c r="M87" i="4" s="1"/>
  <c r="L58" i="4"/>
  <c r="K129" i="4"/>
  <c r="J59" i="4"/>
  <c r="K59" i="4" s="1"/>
  <c r="L74" i="4"/>
  <c r="M74" i="4" s="1"/>
  <c r="K74" i="4"/>
  <c r="J131" i="4"/>
  <c r="J95" i="4"/>
  <c r="K95" i="4" s="1"/>
  <c r="J31" i="4"/>
  <c r="J118" i="4"/>
  <c r="J90" i="4"/>
  <c r="J66" i="4"/>
  <c r="K66" i="4" s="1"/>
  <c r="J38" i="4"/>
  <c r="K38" i="4" s="1"/>
  <c r="J3" i="4"/>
  <c r="K3" i="4" s="1"/>
  <c r="J79" i="4"/>
  <c r="J12" i="4"/>
  <c r="J117" i="4"/>
  <c r="J97" i="4"/>
  <c r="J77" i="4"/>
  <c r="K77" i="4" s="1"/>
  <c r="J57" i="4"/>
  <c r="J132" i="4"/>
  <c r="J112" i="4"/>
  <c r="J92" i="4"/>
  <c r="K92" i="4" s="1"/>
  <c r="J72" i="4"/>
  <c r="J48" i="4"/>
  <c r="J5" i="4"/>
  <c r="K5" i="4" s="1"/>
  <c r="M122" i="4"/>
  <c r="M65" i="4"/>
  <c r="K115" i="4"/>
  <c r="L126" i="4"/>
  <c r="L101" i="4"/>
  <c r="M101" i="4" s="1"/>
  <c r="K65" i="4"/>
  <c r="K40" i="4"/>
  <c r="M114" i="4"/>
  <c r="M117" i="4"/>
  <c r="M131" i="4"/>
  <c r="L130" i="4"/>
  <c r="L109" i="4"/>
  <c r="K101" i="4"/>
  <c r="K37" i="4"/>
  <c r="K83" i="4"/>
  <c r="K78" i="4"/>
  <c r="M94" i="4"/>
  <c r="K93" i="4"/>
  <c r="K107" i="4"/>
  <c r="M73" i="4"/>
  <c r="L40" i="4"/>
  <c r="M40" i="4" s="1"/>
  <c r="M77" i="4"/>
  <c r="K39" i="4"/>
  <c r="J56" i="4"/>
  <c r="K56" i="4" s="1"/>
  <c r="L56" i="4"/>
  <c r="M56" i="4" s="1"/>
  <c r="I97" i="4"/>
  <c r="K36" i="4"/>
  <c r="M66" i="4"/>
  <c r="M75" i="4"/>
  <c r="M126" i="4"/>
  <c r="K2" i="4"/>
  <c r="K110" i="4"/>
  <c r="K121" i="4"/>
  <c r="K103" i="4"/>
  <c r="L47" i="4"/>
  <c r="L71" i="4"/>
  <c r="M71" i="4" s="1"/>
  <c r="L102" i="4"/>
  <c r="M102" i="4" s="1"/>
  <c r="L118" i="4"/>
  <c r="L11" i="4"/>
  <c r="L90" i="4"/>
  <c r="L72" i="4"/>
  <c r="L125" i="4"/>
  <c r="L54" i="4"/>
  <c r="M38" i="4"/>
  <c r="K13" i="4"/>
  <c r="K112" i="4"/>
  <c r="M98" i="4"/>
  <c r="K44" i="4"/>
  <c r="M105" i="4"/>
  <c r="L79" i="4"/>
  <c r="L106" i="4"/>
  <c r="L122" i="4"/>
  <c r="L42" i="4"/>
  <c r="M42" i="4" s="1"/>
  <c r="L9" i="4"/>
  <c r="M9" i="4" s="1"/>
  <c r="L88" i="4"/>
  <c r="M88" i="4" s="1"/>
  <c r="L2" i="4"/>
  <c r="M2" i="4" s="1"/>
  <c r="L41" i="4"/>
  <c r="M93" i="4"/>
  <c r="K75" i="4"/>
  <c r="M64" i="4"/>
  <c r="K73" i="4"/>
  <c r="K84" i="4"/>
  <c r="M78" i="4"/>
  <c r="M59" i="4"/>
  <c r="K132" i="4"/>
  <c r="M123" i="4"/>
  <c r="K62" i="4"/>
  <c r="L117" i="4"/>
  <c r="L81" i="4"/>
  <c r="M81" i="4" s="1"/>
  <c r="I57" i="4"/>
  <c r="M96" i="4"/>
  <c r="K96" i="4"/>
  <c r="M118" i="4"/>
  <c r="M103" i="4"/>
  <c r="K4" i="4"/>
  <c r="M13" i="4"/>
  <c r="K119" i="4"/>
  <c r="M50" i="4"/>
  <c r="M86" i="4"/>
  <c r="J87" i="4"/>
  <c r="K87" i="4" s="1"/>
  <c r="J51" i="4"/>
  <c r="K51" i="4" s="1"/>
  <c r="J130" i="4"/>
  <c r="J114" i="4"/>
  <c r="J94" i="4"/>
  <c r="K94" i="4" s="1"/>
  <c r="J82" i="4"/>
  <c r="K82" i="4" s="1"/>
  <c r="J70" i="4"/>
  <c r="K70" i="4" s="1"/>
  <c r="J58" i="4"/>
  <c r="J42" i="4"/>
  <c r="K42" i="4" s="1"/>
  <c r="J11" i="4"/>
  <c r="J127" i="4"/>
  <c r="J91" i="4"/>
  <c r="K91" i="4" s="1"/>
  <c r="J55" i="4"/>
  <c r="K55" i="4" s="1"/>
  <c r="J8" i="4"/>
  <c r="K8" i="4" s="1"/>
  <c r="J121" i="4"/>
  <c r="J105" i="4"/>
  <c r="K105" i="4" s="1"/>
  <c r="J81" i="4"/>
  <c r="K81" i="4" s="1"/>
  <c r="J69" i="4"/>
  <c r="K69" i="4" s="1"/>
  <c r="J45" i="4"/>
  <c r="J33" i="4"/>
  <c r="J6" i="4"/>
  <c r="K6" i="4" s="1"/>
  <c r="J43" i="4"/>
  <c r="K43" i="4" s="1"/>
  <c r="J120" i="4"/>
  <c r="J104" i="4"/>
  <c r="K104" i="4" s="1"/>
  <c r="K88" i="4"/>
  <c r="J76" i="4"/>
  <c r="J60" i="4"/>
  <c r="J32" i="4"/>
  <c r="K32" i="4" s="1"/>
  <c r="M89" i="4"/>
  <c r="M113" i="4"/>
  <c r="J50" i="4"/>
  <c r="K50" i="4" s="1"/>
  <c r="K61" i="4"/>
  <c r="K116" i="4"/>
  <c r="M116" i="4"/>
  <c r="I80" i="4"/>
  <c r="L44" i="4"/>
  <c r="M44" i="4" s="1"/>
  <c r="I63" i="4"/>
  <c r="L76" i="4"/>
  <c r="L84" i="4"/>
  <c r="M84" i="4" s="1"/>
  <c r="L100" i="4"/>
  <c r="M100" i="4" s="1"/>
  <c r="I106" i="4"/>
  <c r="L112" i="4"/>
  <c r="L120" i="4"/>
  <c r="L128" i="4"/>
  <c r="L37" i="4"/>
  <c r="M37" i="4" s="1"/>
  <c r="I58" i="4"/>
  <c r="L85" i="4"/>
  <c r="M85" i="4" s="1"/>
  <c r="L35" i="4"/>
  <c r="M35" i="4" s="1"/>
  <c r="L67" i="4"/>
  <c r="M67" i="4" s="1"/>
  <c r="L83" i="4"/>
  <c r="M83" i="4" s="1"/>
  <c r="L107" i="4"/>
  <c r="L123" i="4"/>
  <c r="L70" i="4"/>
  <c r="M70" i="4" s="1"/>
  <c r="L57" i="4"/>
  <c r="M43" i="4"/>
  <c r="M61" i="4"/>
  <c r="K85" i="4"/>
  <c r="K99" i="4"/>
  <c r="K64" i="4"/>
  <c r="K109" i="4"/>
  <c r="K102" i="4"/>
  <c r="K71" i="4"/>
  <c r="K54" i="4"/>
  <c r="K128" i="4"/>
  <c r="J98" i="4"/>
  <c r="K98" i="4" s="1"/>
  <c r="J9" i="4"/>
  <c r="K9" i="4" s="1"/>
  <c r="J49" i="4"/>
  <c r="K49" i="4" s="1"/>
  <c r="I48" i="4"/>
  <c r="L8" i="4"/>
  <c r="M8" i="4" s="1"/>
  <c r="L36" i="4"/>
  <c r="M36" i="4" s="1"/>
  <c r="L52" i="4"/>
  <c r="M52" i="4" s="1"/>
  <c r="L60" i="4"/>
  <c r="L68" i="4"/>
  <c r="I79" i="4"/>
  <c r="L92" i="4"/>
  <c r="M92" i="4" s="1"/>
  <c r="L104" i="4"/>
  <c r="M104" i="4" s="1"/>
  <c r="L108" i="4"/>
  <c r="L116" i="4"/>
  <c r="L124" i="4"/>
  <c r="L6" i="4"/>
  <c r="M6" i="4" s="1"/>
  <c r="L53" i="4"/>
  <c r="M53" i="4" s="1"/>
  <c r="L69" i="4"/>
  <c r="M69" i="4" s="1"/>
  <c r="L4" i="4"/>
  <c r="M4" i="4" s="1"/>
  <c r="L51" i="4"/>
  <c r="M51" i="4" s="1"/>
  <c r="I72" i="4"/>
  <c r="L99" i="4"/>
  <c r="M99" i="4" s="1"/>
  <c r="L115" i="4"/>
  <c r="L131" i="4"/>
  <c r="L33" i="4"/>
  <c r="L97" i="4"/>
  <c r="L62" i="4"/>
  <c r="M62" i="4" s="1"/>
  <c r="K100" i="4"/>
  <c r="K53" i="4"/>
  <c r="K111" i="4"/>
  <c r="K74" i="11"/>
  <c r="K78" i="11"/>
  <c r="K75" i="11"/>
  <c r="K79" i="11"/>
  <c r="AE68" i="11"/>
  <c r="AE72" i="11"/>
  <c r="K51" i="11"/>
  <c r="AE37" i="11"/>
  <c r="AE65" i="11"/>
  <c r="K48" i="11"/>
  <c r="AE56" i="11"/>
  <c r="AE42" i="11"/>
  <c r="K38" i="11"/>
  <c r="K43" i="11"/>
  <c r="AE50" i="11"/>
  <c r="AE69" i="11"/>
  <c r="AE63" i="11"/>
  <c r="AE60" i="11"/>
  <c r="K58" i="11"/>
  <c r="K59" i="11"/>
  <c r="K81" i="11"/>
  <c r="K41" i="11"/>
  <c r="AE78" i="11"/>
  <c r="AE77" i="11"/>
  <c r="AE79" i="11"/>
  <c r="AE43" i="11"/>
  <c r="AE70" i="11"/>
  <c r="K72" i="11"/>
  <c r="K70" i="11"/>
  <c r="K40" i="11"/>
  <c r="AE48" i="11"/>
  <c r="AE45" i="11"/>
  <c r="K66" i="11"/>
  <c r="AE40" i="11"/>
  <c r="K63" i="11"/>
  <c r="K61" i="11"/>
  <c r="K46" i="11"/>
  <c r="AE39" i="11"/>
  <c r="K62" i="11"/>
  <c r="AE59" i="11"/>
  <c r="K77" i="11"/>
  <c r="K80" i="11"/>
  <c r="K67" i="11"/>
  <c r="K45" i="11"/>
  <c r="K55" i="11"/>
  <c r="AE46" i="11"/>
  <c r="AE55" i="11"/>
  <c r="K64" i="11"/>
  <c r="AE58" i="11"/>
  <c r="AE81" i="11"/>
  <c r="K39" i="11"/>
  <c r="K76" i="11"/>
  <c r="AE76" i="11"/>
  <c r="AE80" i="11"/>
  <c r="K50" i="11"/>
  <c r="AE61" i="11"/>
  <c r="AE51" i="11"/>
  <c r="K71" i="11"/>
  <c r="K65" i="11"/>
  <c r="K52" i="11"/>
  <c r="K56" i="11"/>
  <c r="K44" i="11"/>
  <c r="K68" i="11"/>
  <c r="AE66" i="11"/>
  <c r="AE64" i="11"/>
  <c r="AE44" i="11"/>
  <c r="AE38" i="11"/>
  <c r="K37" i="11"/>
  <c r="AE57" i="11"/>
  <c r="K60" i="11"/>
  <c r="AE75" i="11"/>
  <c r="K47" i="11"/>
  <c r="K42" i="11"/>
  <c r="K69" i="11"/>
  <c r="AE52" i="11"/>
  <c r="AE62" i="11"/>
  <c r="AE74" i="11"/>
  <c r="AE53" i="11"/>
  <c r="AE71" i="11"/>
  <c r="K57" i="11"/>
  <c r="AE47" i="11"/>
  <c r="K53" i="11"/>
  <c r="AE41" i="11"/>
  <c r="AE67" i="11"/>
  <c r="D3" i="20"/>
  <c r="F2" i="1"/>
  <c r="D4" i="20" s="1"/>
  <c r="F5" i="1"/>
  <c r="D23" i="1"/>
  <c r="A20" i="1"/>
  <c r="D20" i="1"/>
  <c r="G26" i="1" s="1"/>
  <c r="E20" i="1"/>
  <c r="F11" i="1"/>
  <c r="C20" i="1"/>
  <c r="B20" i="1"/>
  <c r="G30" i="1"/>
  <c r="F203" i="11"/>
  <c r="I203" i="11" s="1"/>
  <c r="I104" i="11"/>
  <c r="F93" i="11"/>
  <c r="I92" i="11"/>
  <c r="I94" i="11"/>
  <c r="I141" i="11"/>
  <c r="I139" i="11"/>
  <c r="I152" i="11"/>
  <c r="I88" i="11"/>
  <c r="G88" i="11"/>
  <c r="H88" i="11"/>
  <c r="F135" i="11"/>
  <c r="F185" i="11"/>
  <c r="F199" i="11" s="1"/>
  <c r="I199" i="11" s="1"/>
  <c r="F102" i="11"/>
  <c r="I102" i="11" s="1"/>
  <c r="F153" i="11"/>
  <c r="I153" i="11" s="1"/>
  <c r="I140" i="11"/>
  <c r="AE49" i="11"/>
  <c r="K49" i="11"/>
  <c r="I202" i="11"/>
  <c r="M76" i="4" l="1"/>
  <c r="K76" i="4"/>
  <c r="M90" i="4"/>
  <c r="K127" i="4"/>
  <c r="M46" i="4"/>
  <c r="K45" i="4"/>
  <c r="M124" i="4"/>
  <c r="M54" i="4"/>
  <c r="K130" i="4"/>
  <c r="K12" i="4"/>
  <c r="K120" i="4"/>
  <c r="K108" i="4"/>
  <c r="K34" i="4"/>
  <c r="K11" i="4"/>
  <c r="M11" i="4"/>
  <c r="K57" i="4"/>
  <c r="M47" i="4"/>
  <c r="M30" i="4"/>
  <c r="M60" i="4"/>
  <c r="K60" i="4"/>
  <c r="K90" i="4"/>
  <c r="K29" i="4"/>
  <c r="M68" i="4"/>
  <c r="M29" i="4"/>
  <c r="M33" i="4"/>
  <c r="K33" i="4"/>
  <c r="K97" i="4"/>
  <c r="M97" i="4"/>
  <c r="M57" i="4"/>
  <c r="M79" i="4"/>
  <c r="K79" i="4"/>
  <c r="M31" i="4"/>
  <c r="K31" i="4"/>
  <c r="M72" i="4"/>
  <c r="K72" i="4"/>
  <c r="M58" i="4"/>
  <c r="K58" i="4"/>
  <c r="M41" i="4"/>
  <c r="K41" i="4"/>
  <c r="K48" i="4"/>
  <c r="M48" i="4"/>
  <c r="M106" i="4"/>
  <c r="K106" i="4"/>
  <c r="M63" i="4"/>
  <c r="K63" i="4"/>
  <c r="M80" i="4"/>
  <c r="K80" i="4"/>
  <c r="D47" i="11"/>
  <c r="C47" i="11"/>
  <c r="D52" i="11"/>
  <c r="C52" i="11"/>
  <c r="D64" i="11"/>
  <c r="C64" i="11"/>
  <c r="D61" i="11"/>
  <c r="C61" i="11"/>
  <c r="C72" i="11"/>
  <c r="J107" i="11" s="1"/>
  <c r="K107" i="11" s="1"/>
  <c r="L107" i="11" s="1"/>
  <c r="D72" i="11"/>
  <c r="D59" i="11"/>
  <c r="C59" i="11"/>
  <c r="D79" i="11"/>
  <c r="C79" i="11"/>
  <c r="C65" i="11"/>
  <c r="D65" i="11"/>
  <c r="C50" i="11"/>
  <c r="D50" i="11"/>
  <c r="D62" i="11"/>
  <c r="C62" i="11"/>
  <c r="D58" i="11"/>
  <c r="C58" i="11"/>
  <c r="C75" i="11"/>
  <c r="D75" i="11"/>
  <c r="D53" i="11"/>
  <c r="C53" i="11"/>
  <c r="D69" i="11"/>
  <c r="C69" i="11"/>
  <c r="C60" i="11"/>
  <c r="D60" i="11"/>
  <c r="D44" i="11"/>
  <c r="C44" i="11"/>
  <c r="D71" i="11"/>
  <c r="C71" i="11"/>
  <c r="C80" i="11"/>
  <c r="D80" i="11"/>
  <c r="D40" i="11"/>
  <c r="C40" i="11"/>
  <c r="D41" i="11"/>
  <c r="C41" i="11"/>
  <c r="D43" i="11"/>
  <c r="C43" i="11"/>
  <c r="D48" i="11"/>
  <c r="C48" i="11"/>
  <c r="D78" i="11"/>
  <c r="C78" i="11"/>
  <c r="C57" i="11"/>
  <c r="D57" i="11"/>
  <c r="C37" i="11"/>
  <c r="D37" i="11"/>
  <c r="C76" i="11"/>
  <c r="D76" i="11"/>
  <c r="C45" i="11"/>
  <c r="D45" i="11"/>
  <c r="D68" i="11"/>
  <c r="C68" i="11"/>
  <c r="C39" i="11"/>
  <c r="D39" i="11"/>
  <c r="D67" i="11"/>
  <c r="C67" i="11"/>
  <c r="C63" i="11"/>
  <c r="D63" i="11"/>
  <c r="D51" i="11"/>
  <c r="C51" i="11"/>
  <c r="C42" i="11"/>
  <c r="D42" i="11"/>
  <c r="D56" i="11"/>
  <c r="C56" i="11"/>
  <c r="D55" i="11"/>
  <c r="C55" i="11"/>
  <c r="D77" i="11"/>
  <c r="C77" i="11"/>
  <c r="C46" i="11"/>
  <c r="D46" i="11"/>
  <c r="C66" i="11"/>
  <c r="D66" i="11"/>
  <c r="D70" i="11"/>
  <c r="C70" i="11"/>
  <c r="D81" i="11"/>
  <c r="C81" i="11"/>
  <c r="J157" i="11" s="1"/>
  <c r="D38" i="11"/>
  <c r="C38" i="11"/>
  <c r="C74" i="11"/>
  <c r="D74" i="11"/>
  <c r="I4" i="20"/>
  <c r="I7" i="20"/>
  <c r="I5" i="20" s="1"/>
  <c r="I3" i="20"/>
  <c r="I6" i="20"/>
  <c r="F14" i="1"/>
  <c r="G14" i="1"/>
  <c r="G17" i="1"/>
  <c r="F23" i="1" s="1"/>
  <c r="G20" i="1"/>
  <c r="G29" i="1"/>
  <c r="G33" i="1"/>
  <c r="G28" i="1"/>
  <c r="G34" i="1" s="1"/>
  <c r="F20" i="1"/>
  <c r="G31" i="1"/>
  <c r="F17" i="1"/>
  <c r="F105" i="11"/>
  <c r="I105" i="11" s="1"/>
  <c r="I93" i="11"/>
  <c r="I200" i="11"/>
  <c r="I103" i="11"/>
  <c r="I205" i="11" s="1"/>
  <c r="F89" i="11"/>
  <c r="G89" i="11" s="1"/>
  <c r="I89" i="11" s="1"/>
  <c r="I197" i="11" s="1"/>
  <c r="I185" i="11"/>
  <c r="G185" i="11"/>
  <c r="H185" i="11" s="1"/>
  <c r="D49" i="11"/>
  <c r="C49" i="11"/>
  <c r="G135" i="11"/>
  <c r="H135" i="11" s="1"/>
  <c r="I135" i="11"/>
  <c r="F149" i="11"/>
  <c r="I149" i="11" s="1"/>
  <c r="J191" i="11" l="1"/>
  <c r="K191" i="11" s="1"/>
  <c r="M191" i="11" s="1"/>
  <c r="N191" i="11" s="1"/>
  <c r="J100" i="11"/>
  <c r="K100" i="11" s="1"/>
  <c r="J147" i="11"/>
  <c r="J197" i="11"/>
  <c r="J194" i="11"/>
  <c r="J144" i="11"/>
  <c r="J97" i="11"/>
  <c r="K97" i="11" s="1"/>
  <c r="J150" i="11"/>
  <c r="J200" i="11"/>
  <c r="J192" i="11"/>
  <c r="K192" i="11" s="1"/>
  <c r="M192" i="11" s="1"/>
  <c r="N192" i="11" s="1"/>
  <c r="D218" i="11" s="1"/>
  <c r="J142" i="11"/>
  <c r="K142" i="11" s="1"/>
  <c r="M142" i="11" s="1"/>
  <c r="N142" i="11" s="1"/>
  <c r="D170" i="11" s="1"/>
  <c r="J95" i="11"/>
  <c r="K95" i="11" s="1"/>
  <c r="L95" i="11" s="1"/>
  <c r="D121" i="11" s="1"/>
  <c r="J206" i="11"/>
  <c r="J109" i="11"/>
  <c r="K109" i="11" s="1"/>
  <c r="J156" i="11"/>
  <c r="K197" i="11"/>
  <c r="M197" i="11" s="1"/>
  <c r="N197" i="11" s="1"/>
  <c r="J89" i="11"/>
  <c r="K89" i="11" s="1"/>
  <c r="L89" i="11" s="1"/>
  <c r="D112" i="11" s="1"/>
  <c r="J136" i="11"/>
  <c r="J145" i="11"/>
  <c r="J195" i="11"/>
  <c r="J98" i="11"/>
  <c r="K98" i="11" s="1"/>
  <c r="J152" i="11"/>
  <c r="K152" i="11" s="1"/>
  <c r="M152" i="11" s="1"/>
  <c r="N152" i="11" s="1"/>
  <c r="J104" i="11"/>
  <c r="K104" i="11" s="1"/>
  <c r="L104" i="11" s="1"/>
  <c r="J202" i="11"/>
  <c r="K202" i="11" s="1"/>
  <c r="M202" i="11" s="1"/>
  <c r="N202" i="11" s="1"/>
  <c r="K200" i="11"/>
  <c r="M200" i="11" s="1"/>
  <c r="N200" i="11" s="1"/>
  <c r="D213" i="11" s="1"/>
  <c r="J137" i="11"/>
  <c r="K137" i="11" s="1"/>
  <c r="M137" i="11" s="1"/>
  <c r="N137" i="11" s="1"/>
  <c r="D161" i="11" s="1"/>
  <c r="J90" i="11"/>
  <c r="K90" i="11" s="1"/>
  <c r="L90" i="11" s="1"/>
  <c r="D113" i="11" s="1"/>
  <c r="J187" i="11"/>
  <c r="K187" i="11" s="1"/>
  <c r="M187" i="11" s="1"/>
  <c r="N187" i="11" s="1"/>
  <c r="D210" i="11" s="1"/>
  <c r="J199" i="11"/>
  <c r="K199" i="11" s="1"/>
  <c r="M199" i="11" s="1"/>
  <c r="N199" i="11" s="1"/>
  <c r="D211" i="11" s="1"/>
  <c r="J149" i="11"/>
  <c r="K149" i="11" s="1"/>
  <c r="M149" i="11" s="1"/>
  <c r="N149" i="11" s="1"/>
  <c r="D162" i="11" s="1"/>
  <c r="J102" i="11"/>
  <c r="K102" i="11" s="1"/>
  <c r="L102" i="11" s="1"/>
  <c r="D114" i="11" s="1"/>
  <c r="J151" i="11"/>
  <c r="J201" i="11"/>
  <c r="K201" i="11" s="1"/>
  <c r="M201" i="11" s="1"/>
  <c r="N201" i="11" s="1"/>
  <c r="J205" i="11"/>
  <c r="K205" i="11" s="1"/>
  <c r="M205" i="11" s="1"/>
  <c r="N205" i="11" s="1"/>
  <c r="J155" i="11"/>
  <c r="J108" i="11"/>
  <c r="K108" i="11" s="1"/>
  <c r="J135" i="11"/>
  <c r="J185" i="11"/>
  <c r="K185" i="11" s="1"/>
  <c r="M185" i="11" s="1"/>
  <c r="N185" i="11" s="1"/>
  <c r="D215" i="11" s="1"/>
  <c r="J88" i="11"/>
  <c r="K88" i="11" s="1"/>
  <c r="L88" i="11" s="1"/>
  <c r="D118" i="11" s="1"/>
  <c r="J154" i="11"/>
  <c r="K154" i="11" s="1"/>
  <c r="M154" i="11" s="1"/>
  <c r="N154" i="11" s="1"/>
  <c r="J106" i="11"/>
  <c r="K106" i="11" s="1"/>
  <c r="L106" i="11" s="1"/>
  <c r="J153" i="11"/>
  <c r="K153" i="11" s="1"/>
  <c r="M153" i="11" s="1"/>
  <c r="N153" i="11" s="1"/>
  <c r="J105" i="11"/>
  <c r="K105" i="11" s="1"/>
  <c r="L105" i="11" s="1"/>
  <c r="J203" i="11"/>
  <c r="K203" i="11" s="1"/>
  <c r="M203" i="11" s="1"/>
  <c r="N203" i="11" s="1"/>
  <c r="J139" i="11"/>
  <c r="K139" i="11" s="1"/>
  <c r="M139" i="11" s="1"/>
  <c r="N139" i="11" s="1"/>
  <c r="D163" i="11" s="1"/>
  <c r="J92" i="11"/>
  <c r="K92" i="11" s="1"/>
  <c r="L92" i="11" s="1"/>
  <c r="J189" i="11"/>
  <c r="K189" i="11" s="1"/>
  <c r="M189" i="11" s="1"/>
  <c r="N189" i="11" s="1"/>
  <c r="J186" i="11"/>
  <c r="J93" i="11"/>
  <c r="K93" i="11" s="1"/>
  <c r="L93" i="11" s="1"/>
  <c r="J190" i="11"/>
  <c r="K190" i="11" s="1"/>
  <c r="M190" i="11" s="1"/>
  <c r="N190" i="11" s="1"/>
  <c r="J140" i="11"/>
  <c r="K140" i="11" s="1"/>
  <c r="M140" i="11" s="1"/>
  <c r="N140" i="11" s="1"/>
  <c r="J204" i="11"/>
  <c r="K204" i="11" s="1"/>
  <c r="M204" i="11" s="1"/>
  <c r="N204" i="11" s="1"/>
  <c r="D217" i="11" s="1"/>
  <c r="K135" i="11"/>
  <c r="M135" i="11" s="1"/>
  <c r="N135" i="11" s="1"/>
  <c r="D166" i="11" s="1"/>
  <c r="J193" i="11"/>
  <c r="J96" i="11"/>
  <c r="K96" i="11" s="1"/>
  <c r="J143" i="11"/>
  <c r="J146" i="11"/>
  <c r="J196" i="11"/>
  <c r="J99" i="11"/>
  <c r="K99" i="11" s="1"/>
  <c r="J103" i="11"/>
  <c r="K103" i="11" s="1"/>
  <c r="L103" i="11" s="1"/>
  <c r="D116" i="11" s="1"/>
  <c r="J94" i="11"/>
  <c r="K94" i="11" s="1"/>
  <c r="L94" i="11" s="1"/>
  <c r="J141" i="11"/>
  <c r="K141" i="11" s="1"/>
  <c r="M141" i="11" s="1"/>
  <c r="N141" i="11" s="1"/>
  <c r="C17" i="20"/>
  <c r="C16" i="20"/>
  <c r="C13" i="20"/>
  <c r="D16" i="20"/>
  <c r="B13" i="20"/>
  <c r="B17" i="20"/>
  <c r="D17" i="20"/>
  <c r="E17" i="20"/>
  <c r="B16" i="20"/>
  <c r="E16" i="20"/>
  <c r="E13" i="20"/>
  <c r="D13" i="20"/>
  <c r="I100" i="11"/>
  <c r="L100" i="11" s="1"/>
  <c r="I147" i="11"/>
  <c r="K147" i="11" s="1"/>
  <c r="M147" i="11" s="1"/>
  <c r="N147" i="11" s="1"/>
  <c r="I108" i="11"/>
  <c r="I193" i="11"/>
  <c r="I99" i="11"/>
  <c r="I196" i="11"/>
  <c r="I146" i="11"/>
  <c r="I195" i="11"/>
  <c r="I145" i="11"/>
  <c r="I96" i="11"/>
  <c r="I98" i="11"/>
  <c r="I144" i="11"/>
  <c r="K144" i="11" s="1"/>
  <c r="M144" i="11" s="1"/>
  <c r="N144" i="11" s="1"/>
  <c r="I97" i="11"/>
  <c r="L97" i="11" s="1"/>
  <c r="I143" i="11"/>
  <c r="I194" i="11"/>
  <c r="K194" i="11" s="1"/>
  <c r="M194" i="11" s="1"/>
  <c r="N194" i="11" s="1"/>
  <c r="F136" i="11"/>
  <c r="G136" i="11" s="1"/>
  <c r="I136" i="11" s="1"/>
  <c r="K136" i="11" s="1"/>
  <c r="M136" i="11" s="1"/>
  <c r="N136" i="11" s="1"/>
  <c r="D160" i="11" s="1"/>
  <c r="F186" i="11"/>
  <c r="G186" i="11" s="1"/>
  <c r="I186" i="11" s="1"/>
  <c r="K186" i="11" s="1"/>
  <c r="M186" i="11" s="1"/>
  <c r="N186" i="11" s="1"/>
  <c r="D209" i="11" s="1"/>
  <c r="I150" i="11"/>
  <c r="J91" i="11"/>
  <c r="K91" i="11" s="1"/>
  <c r="L91" i="11" s="1"/>
  <c r="D119" i="11" s="1"/>
  <c r="J138" i="11"/>
  <c r="K138" i="11" s="1"/>
  <c r="M138" i="11" s="1"/>
  <c r="N138" i="11" s="1"/>
  <c r="D167" i="11" s="1"/>
  <c r="J188" i="11"/>
  <c r="K188" i="11" s="1"/>
  <c r="M188" i="11" s="1"/>
  <c r="N188" i="11" s="1"/>
  <c r="D216" i="11" s="1"/>
  <c r="H89" i="11"/>
  <c r="I109" i="11"/>
  <c r="L109" i="11" s="1"/>
  <c r="I206" i="11"/>
  <c r="K206" i="11" s="1"/>
  <c r="M206" i="11" s="1"/>
  <c r="N206" i="11" s="1"/>
  <c r="L98" i="11" l="1"/>
  <c r="K146" i="11"/>
  <c r="M146" i="11" s="1"/>
  <c r="N146" i="11" s="1"/>
  <c r="K145" i="11"/>
  <c r="M145" i="11" s="1"/>
  <c r="N145" i="11" s="1"/>
  <c r="D165" i="11"/>
  <c r="K195" i="11"/>
  <c r="M195" i="11" s="1"/>
  <c r="N195" i="11" s="1"/>
  <c r="D212" i="11"/>
  <c r="D169" i="11"/>
  <c r="D117" i="11"/>
  <c r="L99" i="11"/>
  <c r="K193" i="11"/>
  <c r="M193" i="11" s="1"/>
  <c r="N193" i="11" s="1"/>
  <c r="K143" i="11"/>
  <c r="M143" i="11" s="1"/>
  <c r="N143" i="11" s="1"/>
  <c r="L96" i="11"/>
  <c r="K196" i="11"/>
  <c r="M196" i="11" s="1"/>
  <c r="N196" i="11" s="1"/>
  <c r="L108" i="11"/>
  <c r="D120" i="11"/>
  <c r="D214" i="11"/>
  <c r="D115" i="11"/>
  <c r="H186" i="11"/>
  <c r="I151" i="11"/>
  <c r="I156" i="11" s="1"/>
  <c r="K156" i="11" s="1"/>
  <c r="M156" i="11" s="1"/>
  <c r="N156" i="11" s="1"/>
  <c r="K150" i="11"/>
  <c r="M150" i="11" s="1"/>
  <c r="N150" i="11" s="1"/>
  <c r="D164" i="11" s="1"/>
  <c r="H136" i="11"/>
  <c r="D122" i="11" l="1"/>
  <c r="D124" i="11" s="1"/>
  <c r="D219" i="11"/>
  <c r="D221" i="11" s="1"/>
  <c r="F217" i="11" s="1"/>
  <c r="K151" i="11"/>
  <c r="M151" i="11" s="1"/>
  <c r="N151" i="11" s="1"/>
  <c r="D168" i="11" s="1"/>
  <c r="I157" i="11"/>
  <c r="K157" i="11" s="1"/>
  <c r="M157" i="11" s="1"/>
  <c r="N157" i="11" s="1"/>
  <c r="I155" i="11"/>
  <c r="K155" i="11" s="1"/>
  <c r="M155" i="11" s="1"/>
  <c r="N155" i="11" s="1"/>
  <c r="F2" i="11" l="1"/>
  <c r="I112" i="11"/>
  <c r="F119" i="11"/>
  <c r="F113" i="11"/>
  <c r="F114" i="11"/>
  <c r="F121" i="11"/>
  <c r="F115" i="11"/>
  <c r="F112" i="11"/>
  <c r="F216" i="11"/>
  <c r="F209" i="11"/>
  <c r="F214" i="11"/>
  <c r="C2" i="11"/>
  <c r="C4" i="11" s="1"/>
  <c r="F117" i="11"/>
  <c r="D171" i="11"/>
  <c r="D173" i="11" s="1"/>
  <c r="F215" i="11"/>
  <c r="F212" i="11"/>
  <c r="D222" i="11"/>
  <c r="F213" i="11"/>
  <c r="F210" i="11"/>
  <c r="F218" i="11"/>
  <c r="F219" i="11"/>
  <c r="F211" i="11"/>
  <c r="F116" i="11"/>
  <c r="I113" i="11"/>
  <c r="F120" i="11"/>
  <c r="F118" i="11"/>
  <c r="F122" i="11"/>
  <c r="C3" i="11"/>
  <c r="F3" i="11"/>
  <c r="A1" i="16" l="1"/>
  <c r="F4" i="11"/>
  <c r="F221" i="11"/>
  <c r="F124" i="11"/>
  <c r="D2" i="11"/>
  <c r="F170" i="11"/>
  <c r="D174" i="11"/>
  <c r="F161" i="11"/>
  <c r="F163" i="11"/>
  <c r="F169" i="11"/>
  <c r="F165" i="11"/>
  <c r="F166" i="11"/>
  <c r="F167" i="11"/>
  <c r="F160" i="11"/>
  <c r="F162" i="11"/>
  <c r="F164" i="11"/>
  <c r="F168" i="11"/>
  <c r="F171" i="11"/>
  <c r="F173" i="11" l="1"/>
  <c r="D3" i="11"/>
  <c r="D4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Gun Mo KOO</author>
  </authors>
  <commentList>
    <comment ref="E24" authorId="0" shapeId="0" xr:uid="{0ECDAC84-2E69-4806-BDE2-65E2BD50FEC2}">
      <text>
        <r>
          <rPr>
            <b/>
            <sz val="9"/>
            <color indexed="81"/>
            <rFont val="돋움"/>
            <family val="3"/>
            <charset val="129"/>
          </rPr>
          <t>일반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몬스터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시에만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적용되는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데미지</t>
        </r>
        <r>
          <rPr>
            <b/>
            <sz val="9"/>
            <color indexed="81"/>
            <rFont val="Tahoma"/>
            <family val="2"/>
          </rPr>
          <t xml:space="preserve">% </t>
        </r>
        <r>
          <rPr>
            <b/>
            <sz val="9"/>
            <color indexed="81"/>
            <rFont val="돋움"/>
            <family val="3"/>
            <charset val="129"/>
          </rPr>
          <t>별도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합산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b/>
            <sz val="9"/>
            <color indexed="81"/>
            <rFont val="돋움"/>
            <family val="3"/>
            <charset val="129"/>
          </rPr>
          <t>보스딜에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영향을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끼치지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않음</t>
        </r>
      </text>
    </comment>
    <comment ref="G24" authorId="0" shapeId="0" xr:uid="{09D6A917-076A-41E3-81B7-D04E37AECEE1}">
      <text>
        <r>
          <rPr>
            <b/>
            <sz val="9"/>
            <color indexed="81"/>
            <rFont val="맑은 고딕"/>
            <family val="3"/>
            <charset val="129"/>
            <scheme val="major"/>
          </rPr>
          <t>와헌유니온, 데쓰커스, 카데나링크, 포티튜드, 엔버링크, 아크링크, 모법링크</t>
        </r>
      </text>
    </comment>
    <comment ref="F87" authorId="0" shapeId="0" xr:uid="{B87CA3CA-5DDA-434F-8BD6-51A89CF45C50}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환산값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어웨이크닝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가동률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적용</t>
        </r>
      </text>
    </comment>
    <comment ref="F93" authorId="0" shapeId="0" xr:uid="{30CBBF02-C6DC-4DD1-969F-C3CE34BBB43C}">
      <text>
        <r>
          <rPr>
            <b/>
            <sz val="9"/>
            <color indexed="81"/>
            <rFont val="돋움"/>
            <family val="3"/>
            <charset val="129"/>
          </rPr>
          <t>자동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공격이라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딜레이와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없으므로</t>
        </r>
        <r>
          <rPr>
            <b/>
            <sz val="9"/>
            <color indexed="81"/>
            <rFont val="Tahoma"/>
            <family val="2"/>
          </rPr>
          <t xml:space="preserve"> 60</t>
        </r>
        <r>
          <rPr>
            <b/>
            <sz val="9"/>
            <color indexed="81"/>
            <rFont val="돋움"/>
            <family val="3"/>
            <charset val="129"/>
          </rPr>
          <t>초에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어웨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가동률을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곱함</t>
        </r>
      </text>
    </comment>
    <comment ref="I102" authorId="0" shapeId="0" xr:uid="{6E732318-6402-4C7A-9BD5-1ADED00AB21C}">
      <text>
        <r>
          <rPr>
            <b/>
            <sz val="9"/>
            <color indexed="81"/>
            <rFont val="Tahoma"/>
            <family val="2"/>
          </rPr>
          <t>7</t>
        </r>
        <r>
          <rPr>
            <b/>
            <sz val="9"/>
            <color indexed="81"/>
            <rFont val="돋움"/>
            <family val="3"/>
            <charset val="129"/>
          </rPr>
          <t>임팩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b/>
            <sz val="9"/>
            <color indexed="81"/>
            <rFont val="돋움"/>
            <family val="3"/>
            <charset val="129"/>
          </rPr>
          <t>서버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각각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스킬의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시전수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</t>
        </r>
      </text>
    </comment>
    <comment ref="F134" authorId="0" shapeId="0" xr:uid="{FF73CD50-D010-42A0-A52E-F10E4DF21490}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환산값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어웨이크닝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가동률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적용</t>
        </r>
      </text>
    </comment>
    <comment ref="F140" authorId="0" shapeId="0" xr:uid="{336125FE-7AD4-403F-8711-642B30148C19}">
      <text>
        <r>
          <rPr>
            <b/>
            <sz val="9"/>
            <color indexed="81"/>
            <rFont val="돋움"/>
            <family val="3"/>
            <charset val="129"/>
          </rPr>
          <t>자동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공격이라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딜레이와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없으므로</t>
        </r>
        <r>
          <rPr>
            <b/>
            <sz val="9"/>
            <color indexed="81"/>
            <rFont val="Tahoma"/>
            <family val="2"/>
          </rPr>
          <t xml:space="preserve"> 60</t>
        </r>
        <r>
          <rPr>
            <b/>
            <sz val="9"/>
            <color indexed="81"/>
            <rFont val="돋움"/>
            <family val="3"/>
            <charset val="129"/>
          </rPr>
          <t>초에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어웨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가동률을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곱함</t>
        </r>
      </text>
    </comment>
    <comment ref="I143" authorId="0" shapeId="0" xr:uid="{9CFBC11B-6C5E-44B5-9E95-FB5A6304036D}">
      <text>
        <r>
          <rPr>
            <b/>
            <sz val="9"/>
            <color indexed="81"/>
            <rFont val="돋움"/>
            <family val="3"/>
            <charset val="129"/>
          </rPr>
          <t>계산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귀찮으므로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리메인</t>
        </r>
        <r>
          <rPr>
            <b/>
            <sz val="9"/>
            <color indexed="81"/>
            <rFont val="Tahoma"/>
            <family val="2"/>
          </rPr>
          <t xml:space="preserve"> OFF</t>
        </r>
        <r>
          <rPr>
            <b/>
            <sz val="9"/>
            <color indexed="81"/>
            <rFont val="돋움"/>
            <family val="3"/>
            <charset val="129"/>
          </rPr>
          <t>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분당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시전수를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그대로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어차피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분당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시전수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같음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L143" authorId="0" shapeId="0" xr:uid="{E67E4ED7-ADB9-4AC2-82F4-3C6AAC33B8E5}">
      <text>
        <r>
          <rPr>
            <b/>
            <sz val="9"/>
            <color indexed="81"/>
            <rFont val="돋움"/>
            <family val="3"/>
            <charset val="129"/>
          </rPr>
          <t>오라웨폰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파동으로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인한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슬래시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데미지는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오라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웨폰으로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취급되어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리메인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최종뎀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상승이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적용된다고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가정</t>
        </r>
      </text>
    </comment>
    <comment ref="I144" authorId="0" shapeId="0" xr:uid="{B9294972-1C07-4AE2-BB5A-B7F19571705F}">
      <text>
        <r>
          <rPr>
            <b/>
            <sz val="9"/>
            <color indexed="81"/>
            <rFont val="돋움"/>
            <family val="3"/>
            <charset val="129"/>
          </rPr>
          <t>계산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귀찮으므로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리메인</t>
        </r>
        <r>
          <rPr>
            <b/>
            <sz val="9"/>
            <color indexed="81"/>
            <rFont val="Tahoma"/>
            <family val="2"/>
          </rPr>
          <t xml:space="preserve"> OFF</t>
        </r>
        <r>
          <rPr>
            <b/>
            <sz val="9"/>
            <color indexed="81"/>
            <rFont val="돋움"/>
            <family val="3"/>
            <charset val="129"/>
          </rPr>
          <t>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분당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시전수를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그대로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어차피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분당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시전수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같음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I145" authorId="0" shapeId="0" xr:uid="{63447A64-B355-4D26-AD3A-678CE8844314}">
      <text>
        <r>
          <rPr>
            <b/>
            <sz val="9"/>
            <color indexed="81"/>
            <rFont val="돋움"/>
            <family val="3"/>
            <charset val="129"/>
          </rPr>
          <t>계산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귀찮으므로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리메인</t>
        </r>
        <r>
          <rPr>
            <b/>
            <sz val="9"/>
            <color indexed="81"/>
            <rFont val="Tahoma"/>
            <family val="2"/>
          </rPr>
          <t xml:space="preserve"> OFF</t>
        </r>
        <r>
          <rPr>
            <b/>
            <sz val="9"/>
            <color indexed="81"/>
            <rFont val="돋움"/>
            <family val="3"/>
            <charset val="129"/>
          </rPr>
          <t>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분당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시전수를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그대로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어차피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분당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시전수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같음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I146" authorId="0" shapeId="0" xr:uid="{B1F4F68B-70D2-4172-8305-32DA94EC9CE4}">
      <text>
        <r>
          <rPr>
            <b/>
            <sz val="9"/>
            <color indexed="81"/>
            <rFont val="돋움"/>
            <family val="3"/>
            <charset val="129"/>
          </rPr>
          <t>계산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귀찮으므로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리메인</t>
        </r>
        <r>
          <rPr>
            <b/>
            <sz val="9"/>
            <color indexed="81"/>
            <rFont val="Tahoma"/>
            <family val="2"/>
          </rPr>
          <t xml:space="preserve"> OFF</t>
        </r>
        <r>
          <rPr>
            <b/>
            <sz val="9"/>
            <color indexed="81"/>
            <rFont val="돋움"/>
            <family val="3"/>
            <charset val="129"/>
          </rPr>
          <t>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분당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시전수를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그대로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어차피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분당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시전수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같음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I149" authorId="0" shapeId="0" xr:uid="{1FDFB9CD-1ED5-48FF-B453-994B708C830F}">
      <text>
        <r>
          <rPr>
            <b/>
            <sz val="9"/>
            <color indexed="81"/>
            <rFont val="Tahoma"/>
            <family val="2"/>
          </rPr>
          <t>6</t>
        </r>
        <r>
          <rPr>
            <b/>
            <sz val="9"/>
            <color indexed="81"/>
            <rFont val="돋움"/>
            <family val="3"/>
            <charset val="129"/>
          </rPr>
          <t>임팩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b/>
            <sz val="9"/>
            <color indexed="81"/>
            <rFont val="돋움"/>
            <family val="3"/>
            <charset val="129"/>
          </rPr>
          <t>서버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각각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스킬의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시전수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</t>
        </r>
      </text>
    </comment>
    <comment ref="F184" authorId="0" shapeId="0" xr:uid="{8CD94D9A-53B9-41F1-BC08-750BAC68CFE0}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환산값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어웨이크닝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가동률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적용</t>
        </r>
      </text>
    </comment>
    <comment ref="F190" authorId="0" shapeId="0" xr:uid="{94834810-8B53-4E93-B15E-EFDE8B849539}">
      <text>
        <r>
          <rPr>
            <b/>
            <sz val="9"/>
            <color indexed="81"/>
            <rFont val="돋움"/>
            <family val="3"/>
            <charset val="129"/>
          </rPr>
          <t>자동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공격이라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딜레이와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없으므로</t>
        </r>
        <r>
          <rPr>
            <b/>
            <sz val="9"/>
            <color indexed="81"/>
            <rFont val="Tahoma"/>
            <family val="2"/>
          </rPr>
          <t xml:space="preserve"> 60</t>
        </r>
        <r>
          <rPr>
            <b/>
            <sz val="9"/>
            <color indexed="81"/>
            <rFont val="돋움"/>
            <family val="3"/>
            <charset val="129"/>
          </rPr>
          <t>초에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어웨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가동률을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곱함</t>
        </r>
      </text>
    </comment>
    <comment ref="I193" authorId="0" shapeId="0" xr:uid="{AD80F82F-609C-49FF-A4A0-8272EEC98437}">
      <text>
        <r>
          <rPr>
            <b/>
            <sz val="9"/>
            <color indexed="81"/>
            <rFont val="돋움"/>
            <family val="3"/>
            <charset val="129"/>
          </rPr>
          <t>계산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귀찮으므로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리메인</t>
        </r>
        <r>
          <rPr>
            <b/>
            <sz val="9"/>
            <color indexed="81"/>
            <rFont val="Tahoma"/>
            <family val="2"/>
          </rPr>
          <t xml:space="preserve"> OFF</t>
        </r>
        <r>
          <rPr>
            <b/>
            <sz val="9"/>
            <color indexed="81"/>
            <rFont val="돋움"/>
            <family val="3"/>
            <charset val="129"/>
          </rPr>
          <t>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분당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시전수를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그대로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어차피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분당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시전수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같음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I194" authorId="0" shapeId="0" xr:uid="{513A7113-249B-4791-A91B-B4409AB8149D}">
      <text>
        <r>
          <rPr>
            <b/>
            <sz val="9"/>
            <color indexed="81"/>
            <rFont val="돋움"/>
            <family val="3"/>
            <charset val="129"/>
          </rPr>
          <t>계산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귀찮으므로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리메인</t>
        </r>
        <r>
          <rPr>
            <b/>
            <sz val="9"/>
            <color indexed="81"/>
            <rFont val="Tahoma"/>
            <family val="2"/>
          </rPr>
          <t xml:space="preserve"> OFF</t>
        </r>
        <r>
          <rPr>
            <b/>
            <sz val="9"/>
            <color indexed="81"/>
            <rFont val="돋움"/>
            <family val="3"/>
            <charset val="129"/>
          </rPr>
          <t>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분당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시전수를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그대로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어차피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분당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시전수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같음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I195" authorId="0" shapeId="0" xr:uid="{F9088019-502E-46B0-96AC-F423B6114726}">
      <text>
        <r>
          <rPr>
            <b/>
            <sz val="9"/>
            <color indexed="81"/>
            <rFont val="돋움"/>
            <family val="3"/>
            <charset val="129"/>
          </rPr>
          <t>계산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귀찮으므로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리메인</t>
        </r>
        <r>
          <rPr>
            <b/>
            <sz val="9"/>
            <color indexed="81"/>
            <rFont val="Tahoma"/>
            <family val="2"/>
          </rPr>
          <t xml:space="preserve"> OFF</t>
        </r>
        <r>
          <rPr>
            <b/>
            <sz val="9"/>
            <color indexed="81"/>
            <rFont val="돋움"/>
            <family val="3"/>
            <charset val="129"/>
          </rPr>
          <t>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분당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시전수를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그대로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어차피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분당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시전수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같음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I196" authorId="0" shapeId="0" xr:uid="{F2E35DD9-4B9C-41D0-A729-D2DB26A0BA54}">
      <text>
        <r>
          <rPr>
            <b/>
            <sz val="9"/>
            <color indexed="81"/>
            <rFont val="돋움"/>
            <family val="3"/>
            <charset val="129"/>
          </rPr>
          <t>계산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귀찮으므로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리메인</t>
        </r>
        <r>
          <rPr>
            <b/>
            <sz val="9"/>
            <color indexed="81"/>
            <rFont val="Tahoma"/>
            <family val="2"/>
          </rPr>
          <t xml:space="preserve"> OFF</t>
        </r>
        <r>
          <rPr>
            <b/>
            <sz val="9"/>
            <color indexed="81"/>
            <rFont val="돋움"/>
            <family val="3"/>
            <charset val="129"/>
          </rPr>
          <t>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분당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시전수를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그대로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어차피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분당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시전수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같음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I199" authorId="0" shapeId="0" xr:uid="{A7700A2F-36D1-4AA2-AA81-D6A7B5CBD4D8}">
      <text>
        <r>
          <rPr>
            <b/>
            <sz val="9"/>
            <color indexed="81"/>
            <rFont val="Tahoma"/>
            <family val="2"/>
          </rPr>
          <t>7</t>
        </r>
        <r>
          <rPr>
            <b/>
            <sz val="9"/>
            <color indexed="81"/>
            <rFont val="돋움"/>
            <family val="3"/>
            <charset val="129"/>
          </rPr>
          <t>임팩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b/>
            <sz val="9"/>
            <color indexed="81"/>
            <rFont val="돋움"/>
            <family val="3"/>
            <charset val="129"/>
          </rPr>
          <t>서버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각각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스킬의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시전수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Gun Mo KOO</author>
  </authors>
  <commentList>
    <comment ref="B12" authorId="0" shapeId="0" xr:uid="{9A14EB9B-E1D1-40A8-9029-C6EF7B3385FE}">
      <text>
        <r>
          <rPr>
            <b/>
            <sz val="9"/>
            <color indexed="81"/>
            <rFont val="돋움"/>
            <family val="3"/>
            <charset val="129"/>
          </rPr>
          <t>소멸의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여로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아케인심볼에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한해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강화비용이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감소된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반영여부</t>
        </r>
        <r>
          <rPr>
            <b/>
            <sz val="9"/>
            <color indexed="81"/>
            <rFont val="Tahoma"/>
            <family val="2"/>
          </rPr>
          <t>(TRUE=</t>
        </r>
        <r>
          <rPr>
            <b/>
            <sz val="9"/>
            <color indexed="81"/>
            <rFont val="돋움"/>
            <family val="3"/>
            <charset val="129"/>
          </rPr>
          <t>감소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반영</t>
        </r>
        <r>
          <rPr>
            <b/>
            <sz val="9"/>
            <color indexed="81"/>
            <rFont val="Tahoma"/>
            <family val="2"/>
          </rPr>
          <t>, FALSE=</t>
        </r>
        <r>
          <rPr>
            <b/>
            <sz val="9"/>
            <color indexed="81"/>
            <rFont val="돋움"/>
            <family val="3"/>
            <charset val="129"/>
          </rPr>
          <t>감소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미반영</t>
        </r>
        <r>
          <rPr>
            <b/>
            <sz val="9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<sst xmlns="http://schemas.openxmlformats.org/spreadsheetml/2006/main" count="871" uniqueCount="663">
  <si>
    <t>총 힘(주스탯)</t>
    <phoneticPr fontId="4" type="noConversion"/>
  </si>
  <si>
    <t>아케인포스/하이퍼스탯/유니온 증가분</t>
    <phoneticPr fontId="4" type="noConversion"/>
  </si>
  <si>
    <t>스탯%만 적용된 힘</t>
    <phoneticPr fontId="4" type="noConversion"/>
  </si>
  <si>
    <t>총 힘%(템+링크 계산)</t>
    <phoneticPr fontId="4" type="noConversion"/>
  </si>
  <si>
    <t>순힘</t>
    <phoneticPr fontId="4" type="noConversion"/>
  </si>
  <si>
    <t>총 덱(부스탯)</t>
    <phoneticPr fontId="4" type="noConversion"/>
  </si>
  <si>
    <t>유니온 증가분</t>
    <phoneticPr fontId="4" type="noConversion"/>
  </si>
  <si>
    <t>스탯%만 적용된 덱</t>
    <phoneticPr fontId="4" type="noConversion"/>
  </si>
  <si>
    <t>총 덱%</t>
    <phoneticPr fontId="4" type="noConversion"/>
  </si>
  <si>
    <t>순덱</t>
    <phoneticPr fontId="4" type="noConversion"/>
  </si>
  <si>
    <t>자벞스공</t>
    <phoneticPr fontId="4" type="noConversion"/>
  </si>
  <si>
    <t>무기상수</t>
    <phoneticPr fontId="4" type="noConversion"/>
  </si>
  <si>
    <t>최종뎀%</t>
    <phoneticPr fontId="4" type="noConversion"/>
  </si>
  <si>
    <t>총 뎀%(보공 아님)</t>
    <phoneticPr fontId="4" type="noConversion"/>
  </si>
  <si>
    <t>순스공</t>
    <phoneticPr fontId="4" type="noConversion"/>
  </si>
  <si>
    <t>스공으로 구한 총 공격력</t>
    <phoneticPr fontId="4" type="noConversion"/>
  </si>
  <si>
    <t>총 공%</t>
    <phoneticPr fontId="4" type="noConversion"/>
  </si>
  <si>
    <t>순공</t>
    <phoneticPr fontId="4" type="noConversion"/>
  </si>
  <si>
    <t>메용 해제 시 총 힘</t>
    <phoneticPr fontId="4" type="noConversion"/>
  </si>
  <si>
    <t>현재 레벨</t>
    <phoneticPr fontId="4" type="noConversion"/>
  </si>
  <si>
    <t>메용으로 계산한 힘%</t>
    <phoneticPr fontId="4" type="noConversion"/>
  </si>
  <si>
    <t>(4s+d)*a값 - 기존</t>
    <phoneticPr fontId="4" type="noConversion"/>
  </si>
  <si>
    <t>올스탯 1% 상승 시 (4s+d)*a값</t>
    <phoneticPr fontId="4" type="noConversion"/>
  </si>
  <si>
    <t>힘 1% 상승 시</t>
    <phoneticPr fontId="4" type="noConversion"/>
  </si>
  <si>
    <t>힘1 상승 시</t>
    <phoneticPr fontId="4" type="noConversion"/>
  </si>
  <si>
    <t>공1 상승 시</t>
    <phoneticPr fontId="4" type="noConversion"/>
  </si>
  <si>
    <t>힘1(% 미적용) 상승 시</t>
    <phoneticPr fontId="4" type="noConversion"/>
  </si>
  <si>
    <t>*색칠된 부분만 본인 스펙으로 입력하면 됨</t>
    <phoneticPr fontId="4" type="noConversion"/>
  </si>
  <si>
    <t>*총 힘% 계산하기 귀찮으면 아래 메용으로 계산한 힘% 이용해도 무방. 메용 관련 항목은 계산에 직접적인 영향은 주지 않고 단순 참고용</t>
    <phoneticPr fontId="4" type="noConversion"/>
  </si>
  <si>
    <t>힘 1</t>
    <phoneticPr fontId="4" type="noConversion"/>
  </si>
  <si>
    <t>공 1</t>
    <phoneticPr fontId="4" type="noConversion"/>
  </si>
  <si>
    <t>힘 1%</t>
    <phoneticPr fontId="4" type="noConversion"/>
  </si>
  <si>
    <t>공 1%</t>
    <phoneticPr fontId="4" type="noConversion"/>
  </si>
  <si>
    <t>Name</t>
    <phoneticPr fontId="4" type="noConversion"/>
  </si>
  <si>
    <t>HP</t>
    <phoneticPr fontId="4" type="noConversion"/>
  </si>
  <si>
    <t>EXP</t>
    <phoneticPr fontId="4" type="noConversion"/>
  </si>
  <si>
    <t>LEV</t>
    <phoneticPr fontId="4" type="noConversion"/>
  </si>
  <si>
    <t>EXP/HP 배율</t>
    <phoneticPr fontId="4" type="noConversion"/>
  </si>
  <si>
    <t>포스컷</t>
    <phoneticPr fontId="4" type="noConversion"/>
  </si>
  <si>
    <t>기쁨의 에르다스</t>
    <phoneticPr fontId="4" type="noConversion"/>
  </si>
  <si>
    <t>분노의 에르다스</t>
    <phoneticPr fontId="4" type="noConversion"/>
  </si>
  <si>
    <t>슬픔의 에르다스</t>
    <phoneticPr fontId="4" type="noConversion"/>
  </si>
  <si>
    <t>즐거움의 에르다스</t>
    <phoneticPr fontId="4" type="noConversion"/>
  </si>
  <si>
    <t>암석의 에르다스</t>
    <phoneticPr fontId="4" type="noConversion"/>
  </si>
  <si>
    <t>화염의 에르다스</t>
    <phoneticPr fontId="4" type="noConversion"/>
  </si>
  <si>
    <t>강인한 영혼의 에르다스</t>
    <phoneticPr fontId="4" type="noConversion"/>
  </si>
  <si>
    <t>안식의 에르다스</t>
    <phoneticPr fontId="4" type="noConversion"/>
  </si>
  <si>
    <t>에르다스의 등불</t>
    <phoneticPr fontId="4" type="noConversion"/>
  </si>
  <si>
    <t>아르마의 부하</t>
    <phoneticPr fontId="4" type="noConversion"/>
  </si>
  <si>
    <t>즐거움의 에르다스☆</t>
    <phoneticPr fontId="4" type="noConversion"/>
  </si>
  <si>
    <t>강인한 영혼의 에르다스☆</t>
    <phoneticPr fontId="4" type="noConversion"/>
  </si>
  <si>
    <t>파인디어</t>
    <phoneticPr fontId="4" type="noConversion"/>
  </si>
  <si>
    <t>큰뿔 파인디어</t>
    <phoneticPr fontId="4" type="noConversion"/>
  </si>
  <si>
    <t>유나나</t>
    <phoneticPr fontId="4" type="noConversion"/>
  </si>
  <si>
    <t>램나나</t>
    <phoneticPr fontId="4" type="noConversion"/>
  </si>
  <si>
    <t>플리온</t>
    <phoneticPr fontId="4" type="noConversion"/>
  </si>
  <si>
    <t>성난 플리온</t>
    <phoneticPr fontId="4" type="noConversion"/>
  </si>
  <si>
    <t>설익은 울프룻</t>
    <phoneticPr fontId="4" type="noConversion"/>
  </si>
  <si>
    <t>잘익은 울프룻</t>
    <phoneticPr fontId="4" type="noConversion"/>
  </si>
  <si>
    <t>그린 캣피쉬</t>
    <phoneticPr fontId="4" type="noConversion"/>
  </si>
  <si>
    <t>블루 캣피쉬</t>
    <phoneticPr fontId="4" type="noConversion"/>
  </si>
  <si>
    <t>라이터틀</t>
    <phoneticPr fontId="4" type="noConversion"/>
  </si>
  <si>
    <t>대장 라이터틀</t>
    <phoneticPr fontId="4" type="noConversion"/>
  </si>
  <si>
    <t>크릴라</t>
    <phoneticPr fontId="4" type="noConversion"/>
  </si>
  <si>
    <t>족장 크릴라</t>
    <phoneticPr fontId="4" type="noConversion"/>
  </si>
  <si>
    <t>버샤크</t>
    <phoneticPr fontId="4" type="noConversion"/>
  </si>
  <si>
    <t>족장 버샤크</t>
    <phoneticPr fontId="4" type="noConversion"/>
  </si>
  <si>
    <t>종이봉투 뒷골목주민</t>
    <phoneticPr fontId="4" type="noConversion"/>
  </si>
  <si>
    <t>나무판자 뒷골목주민</t>
    <phoneticPr fontId="4" type="noConversion"/>
  </si>
  <si>
    <t>갈리나</t>
    <phoneticPr fontId="4" type="noConversion"/>
  </si>
  <si>
    <t>갈루스</t>
    <phoneticPr fontId="4" type="noConversion"/>
  </si>
  <si>
    <t>성난 우승접시</t>
    <phoneticPr fontId="4" type="noConversion"/>
  </si>
  <si>
    <t>비뚤어진 우승접시</t>
    <phoneticPr fontId="4" type="noConversion"/>
  </si>
  <si>
    <t>춤추는 빨간구두</t>
    <phoneticPr fontId="4" type="noConversion"/>
  </si>
  <si>
    <t>성난 무도회주민</t>
    <phoneticPr fontId="4" type="noConversion"/>
  </si>
  <si>
    <t>광기의 무도회주민</t>
    <phoneticPr fontId="4" type="noConversion"/>
  </si>
  <si>
    <t>약화된 클리너</t>
    <phoneticPr fontId="4" type="noConversion"/>
  </si>
  <si>
    <t>클리너</t>
    <phoneticPr fontId="4" type="noConversion"/>
  </si>
  <si>
    <t>정령의 잔해</t>
    <phoneticPr fontId="4" type="noConversion"/>
  </si>
  <si>
    <t>물의 정령</t>
    <phoneticPr fontId="4" type="noConversion"/>
  </si>
  <si>
    <t>햇살의 정령</t>
    <phoneticPr fontId="4" type="noConversion"/>
  </si>
  <si>
    <t>흙의 정령</t>
    <phoneticPr fontId="4" type="noConversion"/>
  </si>
  <si>
    <t>서리구름의 정령</t>
    <phoneticPr fontId="4" type="noConversion"/>
  </si>
  <si>
    <t>번개구름의 정령</t>
    <phoneticPr fontId="4" type="noConversion"/>
  </si>
  <si>
    <t>맹독의 정령</t>
    <phoneticPr fontId="4" type="noConversion"/>
  </si>
  <si>
    <t>폭발의 정렁</t>
    <phoneticPr fontId="4" type="noConversion"/>
  </si>
  <si>
    <t>혼돈의 정령</t>
    <phoneticPr fontId="4" type="noConversion"/>
  </si>
  <si>
    <t>절망의 정령</t>
    <phoneticPr fontId="4" type="noConversion"/>
  </si>
  <si>
    <t>비탄의 정령</t>
    <phoneticPr fontId="4" type="noConversion"/>
  </si>
  <si>
    <t>부조화의 정령</t>
    <phoneticPr fontId="4" type="noConversion"/>
  </si>
  <si>
    <t>기억속의 제네로이드A형</t>
    <phoneticPr fontId="4" type="noConversion"/>
  </si>
  <si>
    <t>기억속의 제네로이드B형</t>
    <phoneticPr fontId="4" type="noConversion"/>
  </si>
  <si>
    <t>기억속의 제네로이드C형</t>
    <phoneticPr fontId="4" type="noConversion"/>
  </si>
  <si>
    <t>이름 모를 비둘기</t>
    <phoneticPr fontId="4" type="noConversion"/>
  </si>
  <si>
    <t>이름 모를 고양이</t>
    <phoneticPr fontId="4" type="noConversion"/>
  </si>
  <si>
    <t>힘센 형님</t>
    <phoneticPr fontId="4" type="noConversion"/>
  </si>
  <si>
    <t>강한 형님</t>
    <phoneticPr fontId="4" type="noConversion"/>
  </si>
  <si>
    <t>부유하는 철퇴</t>
    <phoneticPr fontId="4" type="noConversion"/>
  </si>
  <si>
    <t>푸른 그림자</t>
    <phoneticPr fontId="4" type="noConversion"/>
  </si>
  <si>
    <t>붉은 그림자</t>
    <phoneticPr fontId="4" type="noConversion"/>
  </si>
  <si>
    <t>실험의 부산물A</t>
    <phoneticPr fontId="4" type="noConversion"/>
  </si>
  <si>
    <t>실험의 부산물B</t>
    <phoneticPr fontId="4" type="noConversion"/>
  </si>
  <si>
    <t>의식에 휘말린 잔해</t>
    <phoneticPr fontId="4" type="noConversion"/>
  </si>
  <si>
    <t>의식에 휘말린 근위병</t>
    <phoneticPr fontId="4" type="noConversion"/>
  </si>
  <si>
    <t>의식에 휘말린 망치병</t>
    <phoneticPr fontId="4" type="noConversion"/>
  </si>
  <si>
    <t>의식에 휘말린 마법사</t>
    <phoneticPr fontId="4" type="noConversion"/>
  </si>
  <si>
    <t>의식에 휘말린 궁병</t>
    <phoneticPr fontId="4" type="noConversion"/>
  </si>
  <si>
    <t>아투인</t>
    <phoneticPr fontId="4" type="noConversion"/>
  </si>
  <si>
    <t>아투스</t>
    <phoneticPr fontId="4" type="noConversion"/>
  </si>
  <si>
    <t>벨라리온</t>
    <phoneticPr fontId="4" type="noConversion"/>
  </si>
  <si>
    <t>벨라리스</t>
    <phoneticPr fontId="4" type="noConversion"/>
  </si>
  <si>
    <t>아라냐</t>
    <phoneticPr fontId="4" type="noConversion"/>
  </si>
  <si>
    <t>아라네아</t>
    <phoneticPr fontId="4" type="noConversion"/>
  </si>
  <si>
    <t>빛의 주시자</t>
    <phoneticPr fontId="4" type="noConversion"/>
  </si>
  <si>
    <t>어둠의 주시자</t>
    <phoneticPr fontId="4" type="noConversion"/>
  </si>
  <si>
    <t>신전을 지키는 무언가</t>
    <phoneticPr fontId="4" type="noConversion"/>
  </si>
  <si>
    <t>빛의 집행자</t>
    <phoneticPr fontId="4" type="noConversion"/>
  </si>
  <si>
    <t>어둠의 집행자</t>
    <phoneticPr fontId="4" type="noConversion"/>
  </si>
  <si>
    <t>효과</t>
    <phoneticPr fontId="4" type="noConversion"/>
  </si>
  <si>
    <t>적용방무</t>
    <phoneticPr fontId="4" type="noConversion"/>
  </si>
  <si>
    <t>적용후</t>
    <phoneticPr fontId="4" type="noConversion"/>
  </si>
  <si>
    <t>패시브(바인드)</t>
    <phoneticPr fontId="4" type="noConversion"/>
  </si>
  <si>
    <t>하이퍼스탯</t>
    <phoneticPr fontId="4" type="noConversion"/>
  </si>
  <si>
    <t>루미링크</t>
    <phoneticPr fontId="4" type="noConversion"/>
  </si>
  <si>
    <t>모자</t>
    <phoneticPr fontId="4" type="noConversion"/>
  </si>
  <si>
    <t>상의</t>
    <phoneticPr fontId="4" type="noConversion"/>
  </si>
  <si>
    <t>하의</t>
    <phoneticPr fontId="4" type="noConversion"/>
  </si>
  <si>
    <t>엠블</t>
    <phoneticPr fontId="4" type="noConversion"/>
  </si>
  <si>
    <t>유니온</t>
    <phoneticPr fontId="4" type="noConversion"/>
  </si>
  <si>
    <t>블래 유니온</t>
    <phoneticPr fontId="4" type="noConversion"/>
  </si>
  <si>
    <t>보장7셋</t>
    <phoneticPr fontId="4" type="noConversion"/>
  </si>
  <si>
    <t>무기(기본)</t>
    <phoneticPr fontId="4" type="noConversion"/>
  </si>
  <si>
    <t>제로링크</t>
    <phoneticPr fontId="4" type="noConversion"/>
  </si>
  <si>
    <t>앱솔4셋</t>
    <phoneticPr fontId="4" type="noConversion"/>
  </si>
  <si>
    <t>카리스마</t>
    <phoneticPr fontId="4" type="noConversion"/>
  </si>
  <si>
    <t>보조</t>
    <phoneticPr fontId="4" type="noConversion"/>
  </si>
  <si>
    <t>최종</t>
    <phoneticPr fontId="4" type="noConversion"/>
  </si>
  <si>
    <t>달성레벨</t>
    <phoneticPr fontId="4" type="noConversion"/>
  </si>
  <si>
    <t>경험치</t>
    <phoneticPr fontId="4" type="noConversion"/>
  </si>
  <si>
    <t>누적경험치</t>
    <phoneticPr fontId="4" type="noConversion"/>
  </si>
  <si>
    <t>레벨업코어</t>
    <phoneticPr fontId="4" type="noConversion"/>
  </si>
  <si>
    <t>누적코어</t>
    <phoneticPr fontId="4" type="noConversion"/>
  </si>
  <si>
    <t>N/A</t>
    <phoneticPr fontId="4" type="noConversion"/>
  </si>
  <si>
    <t>소멸의 여로</t>
    <phoneticPr fontId="4" type="noConversion"/>
  </si>
  <si>
    <t>츄츄 아일랜드</t>
    <phoneticPr fontId="4" type="noConversion"/>
  </si>
  <si>
    <t>레헬른</t>
    <phoneticPr fontId="4" type="noConversion"/>
  </si>
  <si>
    <t>아르카나</t>
    <phoneticPr fontId="4" type="noConversion"/>
  </si>
  <si>
    <t>모라스</t>
    <phoneticPr fontId="4" type="noConversion"/>
  </si>
  <si>
    <t>에스페라</t>
    <phoneticPr fontId="4" type="noConversion"/>
  </si>
  <si>
    <t>현재 아케인포스</t>
    <phoneticPr fontId="4" type="noConversion"/>
  </si>
  <si>
    <t>심볼레벨</t>
    <phoneticPr fontId="4" type="noConversion"/>
  </si>
  <si>
    <t>성장치</t>
    <phoneticPr fontId="4" type="noConversion"/>
  </si>
  <si>
    <t>일일 획득</t>
    <phoneticPr fontId="4" type="noConversion"/>
  </si>
  <si>
    <t>레벨업까지</t>
    <phoneticPr fontId="4" type="noConversion"/>
  </si>
  <si>
    <t>다음 강화비용</t>
    <phoneticPr fontId="4" type="noConversion"/>
  </si>
  <si>
    <t>지금까지</t>
    <phoneticPr fontId="4" type="noConversion"/>
  </si>
  <si>
    <t>사용한 총 심볼 개수</t>
    <phoneticPr fontId="4" type="noConversion"/>
  </si>
  <si>
    <t>소모된 총 강화비용</t>
    <phoneticPr fontId="4" type="noConversion"/>
  </si>
  <si>
    <t>증가 아케인포스</t>
    <phoneticPr fontId="4" type="noConversion"/>
  </si>
  <si>
    <t>기존레벨</t>
    <phoneticPr fontId="4" type="noConversion"/>
  </si>
  <si>
    <t>올릴레벨</t>
    <phoneticPr fontId="4" type="noConversion"/>
  </si>
  <si>
    <t>강화비용</t>
    <phoneticPr fontId="4" type="noConversion"/>
  </si>
  <si>
    <t>누적 강화비용</t>
    <phoneticPr fontId="4" type="noConversion"/>
  </si>
  <si>
    <t>심볼개수</t>
    <phoneticPr fontId="4" type="noConversion"/>
  </si>
  <si>
    <t>누적 심볼개수</t>
    <phoneticPr fontId="4" type="noConversion"/>
  </si>
  <si>
    <t>Default</t>
  </si>
  <si>
    <t>리메인ON</t>
  </si>
  <si>
    <t>리메인ON(딜사이클 그대로)</t>
  </si>
  <si>
    <t>그래서</t>
    <phoneticPr fontId="4" type="noConversion"/>
  </si>
  <si>
    <t>분당 평균딜(DPM)</t>
  </si>
  <si>
    <t>결론은요?</t>
    <phoneticPr fontId="4" type="noConversion"/>
  </si>
  <si>
    <t>초당 평균딜(DPM/60)</t>
    <phoneticPr fontId="4" type="noConversion"/>
  </si>
  <si>
    <t>Delay(ms)</t>
    <phoneticPr fontId="4" type="noConversion"/>
  </si>
  <si>
    <t>사용주기</t>
    <phoneticPr fontId="4" type="noConversion"/>
  </si>
  <si>
    <t>기존지속</t>
    <phoneticPr fontId="4" type="noConversion"/>
  </si>
  <si>
    <t>벞지</t>
    <phoneticPr fontId="4" type="noConversion"/>
  </si>
  <si>
    <t>실질지속</t>
    <phoneticPr fontId="4" type="noConversion"/>
  </si>
  <si>
    <t>기존쿨</t>
    <phoneticPr fontId="4" type="noConversion"/>
  </si>
  <si>
    <t>쿨감</t>
    <phoneticPr fontId="4" type="noConversion"/>
  </si>
  <si>
    <t>실질쿨</t>
    <phoneticPr fontId="4" type="noConversion"/>
  </si>
  <si>
    <t>가동률</t>
    <phoneticPr fontId="4" type="noConversion"/>
  </si>
  <si>
    <t>사용여부</t>
    <phoneticPr fontId="4" type="noConversion"/>
  </si>
  <si>
    <t>분당 딜레이(sec)</t>
    <phoneticPr fontId="4" type="noConversion"/>
  </si>
  <si>
    <t>버프류</t>
    <phoneticPr fontId="4" type="noConversion"/>
  </si>
  <si>
    <t>어웨</t>
    <phoneticPr fontId="4" type="noConversion"/>
  </si>
  <si>
    <t>ON</t>
  </si>
  <si>
    <t>블블</t>
    <phoneticPr fontId="4" type="noConversion"/>
  </si>
  <si>
    <t>ON</t>
    <phoneticPr fontId="4" type="noConversion"/>
  </si>
  <si>
    <t>인피</t>
    <phoneticPr fontId="4" type="noConversion"/>
  </si>
  <si>
    <t>포티튜드</t>
    <phoneticPr fontId="4" type="noConversion"/>
  </si>
  <si>
    <t>요르문간드</t>
    <phoneticPr fontId="4" type="noConversion"/>
  </si>
  <si>
    <t>오르트로스</t>
    <phoneticPr fontId="4" type="noConversion"/>
  </si>
  <si>
    <t>오라웨폰</t>
    <phoneticPr fontId="4" type="noConversion"/>
  </si>
  <si>
    <t>메타</t>
    <phoneticPr fontId="4" type="noConversion"/>
  </si>
  <si>
    <t>쓸오더</t>
    <phoneticPr fontId="4" type="noConversion"/>
  </si>
  <si>
    <t>쓸샾</t>
    <phoneticPr fontId="4" type="noConversion"/>
  </si>
  <si>
    <t>엔버링크</t>
    <phoneticPr fontId="4" type="noConversion"/>
  </si>
  <si>
    <t>스인미</t>
    <phoneticPr fontId="4" type="noConversion"/>
  </si>
  <si>
    <t>분당 딜레이 총합</t>
    <phoneticPr fontId="4" type="noConversion"/>
  </si>
  <si>
    <t>분당 남는 시간</t>
    <phoneticPr fontId="4" type="noConversion"/>
  </si>
  <si>
    <t>스펙/조건</t>
    <phoneticPr fontId="4" type="noConversion"/>
  </si>
  <si>
    <t>현재 스펙</t>
    <phoneticPr fontId="4" type="noConversion"/>
  </si>
  <si>
    <t>스탯공</t>
    <phoneticPr fontId="4" type="noConversion"/>
  </si>
  <si>
    <t>데미지%</t>
    <phoneticPr fontId="4" type="noConversion"/>
  </si>
  <si>
    <t>보공%</t>
    <phoneticPr fontId="4" type="noConversion"/>
  </si>
  <si>
    <t>추가뎀%*</t>
    <phoneticPr fontId="4" type="noConversion"/>
  </si>
  <si>
    <t>최종뎀</t>
    <phoneticPr fontId="4" type="noConversion"/>
  </si>
  <si>
    <t>스탯창방무</t>
    <phoneticPr fontId="4" type="noConversion"/>
  </si>
  <si>
    <t>스탯창크확</t>
    <phoneticPr fontId="4" type="noConversion"/>
  </si>
  <si>
    <t>크뎀</t>
    <phoneticPr fontId="4" type="noConversion"/>
  </si>
  <si>
    <t>숙련도</t>
    <phoneticPr fontId="4" type="noConversion"/>
  </si>
  <si>
    <t>속성내성무시</t>
    <phoneticPr fontId="4" type="noConversion"/>
  </si>
  <si>
    <t>몹 조건</t>
    <phoneticPr fontId="4" type="noConversion"/>
  </si>
  <si>
    <t>몹 방어율</t>
    <phoneticPr fontId="4" type="noConversion"/>
  </si>
  <si>
    <t>반감 여부</t>
    <phoneticPr fontId="4" type="noConversion"/>
  </si>
  <si>
    <t>속성내성</t>
    <phoneticPr fontId="4" type="noConversion"/>
  </si>
  <si>
    <t>레벨차 데미지 증감</t>
    <phoneticPr fontId="4" type="noConversion"/>
  </si>
  <si>
    <t>아케인포스 데미지 증감</t>
    <phoneticPr fontId="4" type="noConversion"/>
  </si>
  <si>
    <t>반감</t>
  </si>
  <si>
    <t>5차 액티브 스킬레벨</t>
    <phoneticPr fontId="4" type="noConversion"/>
  </si>
  <si>
    <t>딜량표</t>
    <phoneticPr fontId="4" type="noConversion"/>
  </si>
  <si>
    <t>스킬명</t>
    <phoneticPr fontId="4" type="noConversion"/>
  </si>
  <si>
    <t>데미지(보스)</t>
    <phoneticPr fontId="4" type="noConversion"/>
  </si>
  <si>
    <t>데미지(일몹)</t>
    <phoneticPr fontId="4" type="noConversion"/>
  </si>
  <si>
    <t>스킬레벨</t>
    <phoneticPr fontId="4" type="noConversion"/>
  </si>
  <si>
    <t>퍼뎀</t>
    <phoneticPr fontId="4" type="noConversion"/>
  </si>
  <si>
    <t>공격횟수</t>
    <phoneticPr fontId="4" type="noConversion"/>
  </si>
  <si>
    <t>블블 계수</t>
    <phoneticPr fontId="4" type="noConversion"/>
  </si>
  <si>
    <t>데미지% 계수(보스)</t>
    <phoneticPr fontId="4" type="noConversion"/>
  </si>
  <si>
    <t>데미지% 계수(일반몹)</t>
    <phoneticPr fontId="4" type="noConversion"/>
  </si>
  <si>
    <t>방어율 계수</t>
    <phoneticPr fontId="4" type="noConversion"/>
  </si>
  <si>
    <t>크리티컬 계수</t>
    <phoneticPr fontId="4" type="noConversion"/>
  </si>
  <si>
    <t>최종데미지 계수</t>
    <phoneticPr fontId="4" type="noConversion"/>
  </si>
  <si>
    <t>속성 계수</t>
    <phoneticPr fontId="4" type="noConversion"/>
  </si>
  <si>
    <t>레벨/포스 계수</t>
    <phoneticPr fontId="4" type="noConversion"/>
  </si>
  <si>
    <t>숙련도 계수</t>
    <phoneticPr fontId="4" type="noConversion"/>
  </si>
  <si>
    <t>추가 뎀%</t>
    <phoneticPr fontId="4" type="noConversion"/>
  </si>
  <si>
    <t>추가 보공%</t>
    <phoneticPr fontId="4" type="noConversion"/>
  </si>
  <si>
    <t>추가 일몹뎀%</t>
    <phoneticPr fontId="4" type="noConversion"/>
  </si>
  <si>
    <t>추가 방무%</t>
    <phoneticPr fontId="4" type="noConversion"/>
  </si>
  <si>
    <t>추가 방무%(V코어)</t>
    <phoneticPr fontId="4" type="noConversion"/>
  </si>
  <si>
    <t>추가 방무%(크라이)</t>
    <phoneticPr fontId="4" type="noConversion"/>
  </si>
  <si>
    <t>추가 방무%(오라웨폰)*</t>
    <phoneticPr fontId="4" type="noConversion"/>
  </si>
  <si>
    <t>추가크확</t>
    <phoneticPr fontId="4" type="noConversion"/>
  </si>
  <si>
    <t>V코어 강화레벨</t>
    <phoneticPr fontId="4" type="noConversion"/>
  </si>
  <si>
    <t>V코어 1렙당 증가량</t>
    <phoneticPr fontId="4" type="noConversion"/>
  </si>
  <si>
    <t>추가 최종뎀(토쳐)</t>
    <phoneticPr fontId="4" type="noConversion"/>
  </si>
  <si>
    <t>추가 최종뎀(오라웨폰)</t>
    <phoneticPr fontId="4" type="noConversion"/>
  </si>
  <si>
    <t>방무</t>
    <phoneticPr fontId="4" type="noConversion"/>
  </si>
  <si>
    <t>Normal</t>
    <phoneticPr fontId="4" type="noConversion"/>
  </si>
  <si>
    <t>임팩트</t>
    <phoneticPr fontId="4" type="noConversion"/>
  </si>
  <si>
    <t>어웨슬래시(1타)</t>
    <phoneticPr fontId="4" type="noConversion"/>
  </si>
  <si>
    <t>어웨슬래시(2타)</t>
  </si>
  <si>
    <t>어웨슬래시(3타)</t>
  </si>
  <si>
    <t>어웨슬래시(4타)</t>
  </si>
  <si>
    <t>서버러스(어웨 자동)</t>
    <phoneticPr fontId="4" type="noConversion"/>
  </si>
  <si>
    <t>서버러스(노어웨)</t>
    <phoneticPr fontId="4" type="noConversion"/>
  </si>
  <si>
    <t>메타(어웨)</t>
    <phoneticPr fontId="4" type="noConversion"/>
  </si>
  <si>
    <t>메타(노어웨)</t>
    <phoneticPr fontId="4" type="noConversion"/>
  </si>
  <si>
    <t>크라이(어웨)</t>
    <phoneticPr fontId="4" type="noConversion"/>
  </si>
  <si>
    <t>요르문간드(전체, 노어웨)</t>
    <phoneticPr fontId="4" type="noConversion"/>
  </si>
  <si>
    <t>요르문간드(전체, 어웨)</t>
    <phoneticPr fontId="4" type="noConversion"/>
  </si>
  <si>
    <t>오르트로스(전체)</t>
    <phoneticPr fontId="4" type="noConversion"/>
  </si>
  <si>
    <t>슬래1타(리메인용)</t>
    <phoneticPr fontId="4" type="noConversion"/>
  </si>
  <si>
    <t>스인미(전체, 노어웨)</t>
    <phoneticPr fontId="4" type="noConversion"/>
  </si>
  <si>
    <t>스인미(전체, 어웨)</t>
    <phoneticPr fontId="4" type="noConversion"/>
  </si>
  <si>
    <t>오라웨폰ON</t>
    <phoneticPr fontId="4" type="noConversion"/>
  </si>
  <si>
    <t>오라웨폰파동</t>
    <phoneticPr fontId="4" type="noConversion"/>
  </si>
  <si>
    <t>(beta)</t>
    <phoneticPr fontId="4" type="noConversion"/>
  </si>
  <si>
    <t>10초딜용</t>
    <phoneticPr fontId="4" type="noConversion"/>
  </si>
  <si>
    <t>딜사이클 #1</t>
    <phoneticPr fontId="4" type="noConversion"/>
  </si>
  <si>
    <t>// 리메인 OFF</t>
    <phoneticPr fontId="4" type="noConversion"/>
  </si>
  <si>
    <t>Delay(s)</t>
    <phoneticPr fontId="4" type="noConversion"/>
  </si>
  <si>
    <t>사용 주기</t>
    <phoneticPr fontId="4" type="noConversion"/>
  </si>
  <si>
    <t>사용가능한 딜타임*</t>
    <phoneticPr fontId="4" type="noConversion"/>
  </si>
  <si>
    <t>소모 딜타임</t>
    <phoneticPr fontId="4" type="noConversion"/>
  </si>
  <si>
    <t>남은 딜타임</t>
    <phoneticPr fontId="4" type="noConversion"/>
  </si>
  <si>
    <t>분당 시전수</t>
    <phoneticPr fontId="4" type="noConversion"/>
  </si>
  <si>
    <t>평균 딜(오라웨폰 반영)</t>
    <phoneticPr fontId="4" type="noConversion"/>
  </si>
  <si>
    <t>분당 딜</t>
    <phoneticPr fontId="4" type="noConversion"/>
  </si>
  <si>
    <t>어웨 ON</t>
    <phoneticPr fontId="4" type="noConversion"/>
  </si>
  <si>
    <t>크라이</t>
    <phoneticPr fontId="4" type="noConversion"/>
  </si>
  <si>
    <t>어웨슬래시(1사이클)</t>
    <phoneticPr fontId="4" type="noConversion"/>
  </si>
  <si>
    <t>자동 서버</t>
    <phoneticPr fontId="4" type="noConversion"/>
  </si>
  <si>
    <t>요르문간드(어웨)</t>
    <phoneticPr fontId="4" type="noConversion"/>
  </si>
  <si>
    <t>스인미(어웨)</t>
    <phoneticPr fontId="4" type="noConversion"/>
  </si>
  <si>
    <t>어웨 OFF</t>
    <phoneticPr fontId="4" type="noConversion"/>
  </si>
  <si>
    <t>임팩트(7)</t>
  </si>
  <si>
    <t>서버러스(1)</t>
  </si>
  <si>
    <t>요르문간드(비어웨만)</t>
    <phoneticPr fontId="4" type="noConversion"/>
  </si>
  <si>
    <t>스인미(비어웨만)</t>
    <phoneticPr fontId="4" type="noConversion"/>
  </si>
  <si>
    <t>분당 딜량</t>
    <phoneticPr fontId="4" type="noConversion"/>
  </si>
  <si>
    <t>점유율</t>
    <phoneticPr fontId="4" type="noConversion"/>
  </si>
  <si>
    <t>DPM #1</t>
    <phoneticPr fontId="4" type="noConversion"/>
  </si>
  <si>
    <t>어웨(슬래시)</t>
    <phoneticPr fontId="4" type="noConversion"/>
  </si>
  <si>
    <t>어웨(자동서버)</t>
    <phoneticPr fontId="4" type="noConversion"/>
  </si>
  <si>
    <t>임팩</t>
    <phoneticPr fontId="4" type="noConversion"/>
  </si>
  <si>
    <t>요르문간드(합)</t>
    <phoneticPr fontId="4" type="noConversion"/>
  </si>
  <si>
    <t>서버(노어웨)</t>
    <phoneticPr fontId="4" type="noConversion"/>
  </si>
  <si>
    <t>메타(합)</t>
    <phoneticPr fontId="4" type="noConversion"/>
  </si>
  <si>
    <t>SUM(DPM)</t>
    <phoneticPr fontId="4" type="noConversion"/>
  </si>
  <si>
    <t>Made by 사냥원리@루나. 공유 시 원본글 링크를 필히 첨부해 주세요.</t>
    <phoneticPr fontId="4" type="noConversion"/>
  </si>
  <si>
    <t>* 특이사항</t>
    <phoneticPr fontId="4" type="noConversion"/>
  </si>
  <si>
    <t>어웨 1사이클당 자동서버 발동횟수는 8이 아닌 7</t>
    <phoneticPr fontId="4" type="noConversion"/>
  </si>
  <si>
    <t>어웨 OFF 시 7임팩 1서버 딜사이클 사용</t>
  </si>
  <si>
    <t>딜사이클 #2</t>
    <phoneticPr fontId="4" type="noConversion"/>
  </si>
  <si>
    <t>// 리메인 ON</t>
    <phoneticPr fontId="4" type="noConversion"/>
  </si>
  <si>
    <t>리메인 반영 전</t>
    <phoneticPr fontId="4" type="noConversion"/>
  </si>
  <si>
    <t>리메인 계수</t>
  </si>
  <si>
    <t>분당 딜(리메인 반영 후)</t>
  </si>
  <si>
    <t>임팩트(6)</t>
  </si>
  <si>
    <t>슬래시(리메인용, 1)</t>
  </si>
  <si>
    <t>DPM #2</t>
    <phoneticPr fontId="4" type="noConversion"/>
  </si>
  <si>
    <t>슬래(리메인용)</t>
  </si>
  <si>
    <t>리메인 딜상승률</t>
  </si>
  <si>
    <t>딜사이클 #3</t>
  </si>
  <si>
    <t>// 리메인 ON, 딜사이클 변경 X</t>
  </si>
  <si>
    <t>슬래시(리메인용, 미사용)</t>
  </si>
  <si>
    <t>리메인* 딜상승률</t>
  </si>
  <si>
    <t>어웨 OFF 시 원래의 딜사이클(7임팩 1서버) 사용, 어웨 ON 타임에만 리메인타임으로 인한 이득이 적용</t>
  </si>
  <si>
    <t>요르문간드 데미지 계산</t>
    <phoneticPr fontId="4" type="noConversion"/>
  </si>
  <si>
    <t>레벨</t>
    <phoneticPr fontId="4" type="noConversion"/>
  </si>
  <si>
    <t>지속시간</t>
    <phoneticPr fontId="4" type="noConversion"/>
  </si>
  <si>
    <t>소환수 퍼뎀</t>
    <phoneticPr fontId="4" type="noConversion"/>
  </si>
  <si>
    <t>소환수 공격횟수</t>
    <phoneticPr fontId="4" type="noConversion"/>
  </si>
  <si>
    <t>SelfDestruction</t>
    <phoneticPr fontId="4" type="noConversion"/>
  </si>
  <si>
    <t>최종 %뎀</t>
    <phoneticPr fontId="4" type="noConversion"/>
  </si>
  <si>
    <t>오르트로스 데미지 계산</t>
    <phoneticPr fontId="4" type="noConversion"/>
  </si>
  <si>
    <t>지속시간(고정)</t>
    <phoneticPr fontId="4" type="noConversion"/>
  </si>
  <si>
    <t>네메아 퍼뎀</t>
    <phoneticPr fontId="4" type="noConversion"/>
  </si>
  <si>
    <t>네메아 공격횟수</t>
    <phoneticPr fontId="4" type="noConversion"/>
  </si>
  <si>
    <t>재발동</t>
    <phoneticPr fontId="4" type="noConversion"/>
  </si>
  <si>
    <t>게리온 퍼뎀</t>
    <phoneticPr fontId="4" type="noConversion"/>
  </si>
  <si>
    <t>게리온 공격횟수</t>
    <phoneticPr fontId="4" type="noConversion"/>
  </si>
  <si>
    <t>스인미 데미지 계산</t>
    <phoneticPr fontId="4" type="noConversion"/>
  </si>
  <si>
    <t>광역딜 퍼뎀</t>
    <phoneticPr fontId="4" type="noConversion"/>
  </si>
  <si>
    <t>거미다리 1회당 퍼뎀</t>
    <phoneticPr fontId="4" type="noConversion"/>
  </si>
  <si>
    <t>발동횟수</t>
    <phoneticPr fontId="4" type="noConversion"/>
  </si>
  <si>
    <t>오라웨폰 계산</t>
    <phoneticPr fontId="4" type="noConversion"/>
  </si>
  <si>
    <t>방무 증가량</t>
    <phoneticPr fontId="4" type="noConversion"/>
  </si>
  <si>
    <t>최종뎀 증가량</t>
    <phoneticPr fontId="4" type="noConversion"/>
  </si>
  <si>
    <t>Parts</t>
    <phoneticPr fontId="4" type="noConversion"/>
  </si>
  <si>
    <t>힘%</t>
    <phoneticPr fontId="4" type="noConversion"/>
  </si>
  <si>
    <t>덱%</t>
    <phoneticPr fontId="4" type="noConversion"/>
  </si>
  <si>
    <t>올스탯%</t>
    <phoneticPr fontId="4" type="noConversion"/>
  </si>
  <si>
    <t>최종 힘%</t>
    <phoneticPr fontId="4" type="noConversion"/>
  </si>
  <si>
    <t>최종 덱%</t>
    <phoneticPr fontId="4" type="noConversion"/>
  </si>
  <si>
    <t>제논링크</t>
    <phoneticPr fontId="4" type="noConversion"/>
  </si>
  <si>
    <t>반지1</t>
    <phoneticPr fontId="4" type="noConversion"/>
  </si>
  <si>
    <t>반지2</t>
  </si>
  <si>
    <t>반지3</t>
  </si>
  <si>
    <t>반지4</t>
  </si>
  <si>
    <t>포켓</t>
    <phoneticPr fontId="4" type="noConversion"/>
  </si>
  <si>
    <t>펜던C</t>
    <phoneticPr fontId="4" type="noConversion"/>
  </si>
  <si>
    <t>펜던</t>
    <phoneticPr fontId="4" type="noConversion"/>
  </si>
  <si>
    <t>무기</t>
    <phoneticPr fontId="4" type="noConversion"/>
  </si>
  <si>
    <t>벨트</t>
    <phoneticPr fontId="4" type="noConversion"/>
  </si>
  <si>
    <t>얼장</t>
    <phoneticPr fontId="4" type="noConversion"/>
  </si>
  <si>
    <t>눈장</t>
    <phoneticPr fontId="4" type="noConversion"/>
  </si>
  <si>
    <t>신발</t>
    <phoneticPr fontId="4" type="noConversion"/>
  </si>
  <si>
    <t>귀고리</t>
    <phoneticPr fontId="4" type="noConversion"/>
  </si>
  <si>
    <t>어깨</t>
    <phoneticPr fontId="4" type="noConversion"/>
  </si>
  <si>
    <t>장갑</t>
    <phoneticPr fontId="4" type="noConversion"/>
  </si>
  <si>
    <t>엠블렘</t>
    <phoneticPr fontId="4" type="noConversion"/>
  </si>
  <si>
    <t>보조무기</t>
    <phoneticPr fontId="4" type="noConversion"/>
  </si>
  <si>
    <t>망토</t>
    <phoneticPr fontId="4" type="noConversion"/>
  </si>
  <si>
    <t>하트</t>
    <phoneticPr fontId="4" type="noConversion"/>
  </si>
  <si>
    <t>레벨</t>
  </si>
  <si>
    <t>획득 가능</t>
  </si>
  <si>
    <t>소모량</t>
  </si>
  <si>
    <t>하이퍼스탯</t>
  </si>
  <si>
    <t>획득량</t>
  </si>
  <si>
    <t>누적</t>
  </si>
  <si>
    <t>효과</t>
  </si>
  <si>
    <t>STR</t>
  </si>
  <si>
    <t>DEX</t>
  </si>
  <si>
    <t>INT</t>
  </si>
  <si>
    <t>LUK</t>
  </si>
  <si>
    <t>HP</t>
  </si>
  <si>
    <t>DF/TF</t>
  </si>
  <si>
    <t>크확</t>
  </si>
  <si>
    <t>크뎀</t>
  </si>
  <si>
    <t>데미지</t>
  </si>
  <si>
    <t>보공</t>
  </si>
  <si>
    <t>방무</t>
  </si>
  <si>
    <t>공</t>
  </si>
  <si>
    <t>EXP</t>
  </si>
  <si>
    <t>ARC</t>
  </si>
  <si>
    <t>기본공</t>
    <phoneticPr fontId="4" type="noConversion"/>
  </si>
  <si>
    <t>추옵</t>
    <phoneticPr fontId="4" type="noConversion"/>
  </si>
  <si>
    <t>작</t>
    <phoneticPr fontId="4" type="noConversion"/>
  </si>
  <si>
    <t>레벨제한</t>
    <phoneticPr fontId="4" type="noConversion"/>
  </si>
  <si>
    <t>증가량</t>
    <phoneticPr fontId="4" type="noConversion"/>
  </si>
  <si>
    <t>공(추옵제외)</t>
    <phoneticPr fontId="4" type="noConversion"/>
  </si>
  <si>
    <t>공(추옵포함)</t>
    <phoneticPr fontId="4" type="noConversion"/>
  </si>
  <si>
    <t>0성</t>
    <phoneticPr fontId="4" type="noConversion"/>
  </si>
  <si>
    <t>1성</t>
    <phoneticPr fontId="4" type="noConversion"/>
  </si>
  <si>
    <t>2성</t>
  </si>
  <si>
    <t>3성</t>
  </si>
  <si>
    <t>4성</t>
  </si>
  <si>
    <t>5성</t>
  </si>
  <si>
    <t>6성</t>
  </si>
  <si>
    <t>7성</t>
  </si>
  <si>
    <t>8성</t>
  </si>
  <si>
    <t>9성</t>
  </si>
  <si>
    <t>10성</t>
  </si>
  <si>
    <t>11성</t>
  </si>
  <si>
    <t>12성</t>
  </si>
  <si>
    <t>13성</t>
  </si>
  <si>
    <t>14성</t>
  </si>
  <si>
    <t>15성</t>
  </si>
  <si>
    <t>16성</t>
  </si>
  <si>
    <t>17성</t>
  </si>
  <si>
    <t>18성</t>
  </si>
  <si>
    <t>19성</t>
  </si>
  <si>
    <t>20성</t>
  </si>
  <si>
    <t>21성</t>
  </si>
  <si>
    <t>22성</t>
  </si>
  <si>
    <t>23성</t>
  </si>
  <si>
    <t>24성</t>
  </si>
  <si>
    <t>25성</t>
  </si>
  <si>
    <t>26성</t>
  </si>
  <si>
    <t>27성</t>
  </si>
  <si>
    <t>28성</t>
  </si>
  <si>
    <t>29성</t>
  </si>
  <si>
    <t>30성</t>
  </si>
  <si>
    <t>환산치</t>
    <phoneticPr fontId="4" type="noConversion"/>
  </si>
  <si>
    <t>공 9%</t>
    <phoneticPr fontId="4" type="noConversion"/>
  </si>
  <si>
    <t>보공 30%</t>
    <phoneticPr fontId="4" type="noConversion"/>
  </si>
  <si>
    <t>방무 30%</t>
    <phoneticPr fontId="4" type="noConversion"/>
  </si>
  <si>
    <t>무기(잠재)</t>
    <phoneticPr fontId="4" type="noConversion"/>
  </si>
  <si>
    <t>칠요훈장</t>
    <phoneticPr fontId="4" type="noConversion"/>
  </si>
  <si>
    <t>배율</t>
    <phoneticPr fontId="4" type="noConversion"/>
  </si>
  <si>
    <t>리스트레인트</t>
    <phoneticPr fontId="4" type="noConversion"/>
  </si>
  <si>
    <t>크뎀*</t>
    <phoneticPr fontId="4" type="noConversion"/>
  </si>
  <si>
    <t>웨폰퍼프</t>
    <phoneticPr fontId="4" type="noConversion"/>
  </si>
  <si>
    <t>리스크테이커*</t>
    <phoneticPr fontId="4" type="noConversion"/>
  </si>
  <si>
    <t>크리데미지</t>
    <phoneticPr fontId="4" type="noConversion"/>
  </si>
  <si>
    <t>레벨퍼프</t>
    <phoneticPr fontId="4" type="noConversion"/>
  </si>
  <si>
    <t>링썸</t>
    <phoneticPr fontId="4" type="noConversion"/>
  </si>
  <si>
    <t>캐릭터 레벨</t>
    <phoneticPr fontId="4" type="noConversion"/>
  </si>
  <si>
    <t>지속시간 다름, 피격 시 해제</t>
    <phoneticPr fontId="4" type="noConversion"/>
  </si>
  <si>
    <t>최종 데미지 증가량(지속시간 미고려)</t>
    <phoneticPr fontId="4" type="noConversion"/>
  </si>
  <si>
    <t>세부사항</t>
    <phoneticPr fontId="4" type="noConversion"/>
  </si>
  <si>
    <t>스킬코어</t>
    <phoneticPr fontId="4" type="noConversion"/>
  </si>
  <si>
    <t>강화코어</t>
    <phoneticPr fontId="4" type="noConversion"/>
  </si>
  <si>
    <t>현재레벨</t>
    <phoneticPr fontId="4" type="noConversion"/>
  </si>
  <si>
    <t>경험치%</t>
    <phoneticPr fontId="4" type="noConversion"/>
  </si>
  <si>
    <t>누적EXP</t>
    <phoneticPr fontId="4" type="noConversion"/>
  </si>
  <si>
    <t>이계 여신의 축복</t>
    <phoneticPr fontId="4" type="noConversion"/>
  </si>
  <si>
    <t>이계의 공허</t>
    <phoneticPr fontId="4" type="noConversion"/>
  </si>
  <si>
    <t>이계</t>
    <phoneticPr fontId="4" type="noConversion"/>
  </si>
  <si>
    <t>이계의 공허(어웨)</t>
    <phoneticPr fontId="4" type="noConversion"/>
  </si>
  <si>
    <t>평균딜(이계 반영)</t>
    <phoneticPr fontId="4" type="noConversion"/>
  </si>
  <si>
    <t>올스탯 1% = STR n</t>
    <phoneticPr fontId="4" type="noConversion"/>
  </si>
  <si>
    <t>올스탯 2% = 공 n</t>
    <phoneticPr fontId="4" type="noConversion"/>
  </si>
  <si>
    <t>힘 4% = 공 n</t>
    <phoneticPr fontId="4" type="noConversion"/>
  </si>
  <si>
    <t>힘 1% = 힘 n</t>
    <phoneticPr fontId="4" type="noConversion"/>
  </si>
  <si>
    <t>비중</t>
    <phoneticPr fontId="4" type="noConversion"/>
  </si>
  <si>
    <t>4차</t>
    <phoneticPr fontId="4" type="noConversion"/>
  </si>
  <si>
    <t>5차(어웨포함)</t>
    <phoneticPr fontId="4" type="noConversion"/>
  </si>
  <si>
    <t>공1=힘 n</t>
    <phoneticPr fontId="4" type="noConversion"/>
  </si>
  <si>
    <t>공1=힘 n(%적용X)</t>
    <phoneticPr fontId="4" type="noConversion"/>
  </si>
  <si>
    <t>*실 계산 시 소수점 버림 등으로 인한 작은 오차가 발생할 수 있음</t>
    <phoneticPr fontId="4" type="noConversion"/>
  </si>
  <si>
    <t>이계의 공허(비어웨)</t>
    <phoneticPr fontId="4" type="noConversion"/>
  </si>
  <si>
    <t>최종 데미지 증가율(어웨_오트제외)</t>
    <phoneticPr fontId="4" type="noConversion"/>
  </si>
  <si>
    <t>최종 데미지 증가율(오트, 이계의 공허)</t>
    <phoneticPr fontId="4" type="noConversion"/>
  </si>
  <si>
    <t>비고</t>
    <phoneticPr fontId="4" type="noConversion"/>
  </si>
  <si>
    <t>숨겨진</t>
    <phoneticPr fontId="4" type="noConversion"/>
  </si>
  <si>
    <t>1.5배컷</t>
    <phoneticPr fontId="4" type="noConversion"/>
  </si>
  <si>
    <t>플라잉몹</t>
    <phoneticPr fontId="4" type="noConversion"/>
  </si>
  <si>
    <r>
      <t>태초를 지키는 무언가</t>
    </r>
    <r>
      <rPr>
        <sz val="11"/>
        <color theme="0" tint="-0.14999847407452621"/>
        <rFont val="맑은 고딕"/>
        <family val="3"/>
        <charset val="129"/>
        <scheme val="minor"/>
      </rPr>
      <t>1</t>
    </r>
  </si>
  <si>
    <r>
      <t>태초를 지키는 무언가</t>
    </r>
    <r>
      <rPr>
        <sz val="11"/>
        <color theme="0" tint="-0.14999847407452621"/>
        <rFont val="맑은 고딕"/>
        <family val="3"/>
        <charset val="129"/>
        <scheme val="minor"/>
      </rPr>
      <t>2</t>
    </r>
  </si>
  <si>
    <t>Maple Calculator(for DS)</t>
    <phoneticPr fontId="4" type="noConversion"/>
  </si>
  <si>
    <t xml:space="preserve">* Made by 사냥원리@루나. 관련 문의는 원칙적으로는 이 파일이 올라온 게시글(개인 블로그 혹은 인벤 게시글)로 남겨 주시면 되고, 응답이 너무 오래 없거나 매우 급한 사안일 경우에는 alpha5793@gmail.com 으로도 받습니다. </t>
    <phoneticPr fontId="4" type="noConversion"/>
  </si>
  <si>
    <t>* 대부분의 시트는 서로 유기적으로 연결되어 있는 경우가 많습니다. (ex. 방무 수치 등) 잠금이 해제되어 있으나 수식이 있었던 셀을 임의로 수정할 시, 이러한 연결이 깨질 수 있으며, 연동이 이상하다 싶은 경우에는 원본 파일을 구하셔서 수식을 복구하시면 됩니다.</t>
    <phoneticPr fontId="4" type="noConversion"/>
  </si>
  <si>
    <t>메용으로 증가하는 힘</t>
    <phoneticPr fontId="4" type="noConversion"/>
  </si>
  <si>
    <t>메용 스킬레벨</t>
    <phoneticPr fontId="4" type="noConversion"/>
  </si>
  <si>
    <t>메용 순힘 증가량</t>
    <phoneticPr fontId="4" type="noConversion"/>
  </si>
  <si>
    <t>영역 벗어날 시 해제. 크라이시스 HM 동일(비-MP 직업군 발동 불가)</t>
    <phoneticPr fontId="4" type="noConversion"/>
  </si>
  <si>
    <t>* 주의사항</t>
    <phoneticPr fontId="4" type="noConversion"/>
  </si>
  <si>
    <t>어웨 OFF 시 6임팩 1슬래 1서버 딜사이클 사용, 리메인 버프의 유지를 위해 서버 lag 1.04초 필요</t>
    <phoneticPr fontId="4" type="noConversion"/>
  </si>
  <si>
    <t>Input</t>
    <phoneticPr fontId="4" type="noConversion"/>
  </si>
  <si>
    <t>Coefficient</t>
    <phoneticPr fontId="4" type="noConversion"/>
  </si>
  <si>
    <t>Toggle</t>
    <phoneticPr fontId="4" type="noConversion"/>
  </si>
  <si>
    <t>Ref.</t>
    <phoneticPr fontId="4" type="noConversion"/>
  </si>
  <si>
    <t>* final 값은 단순한 최종 데미지 계수이며(최종 딜량에 해당 계수가 곱해지게 됨. 최댓값은 1.8), 다른 변수(데미지% 등)와는 무관함.</t>
    <phoneticPr fontId="4" type="noConversion"/>
  </si>
  <si>
    <t>ARC</t>
    <phoneticPr fontId="4" type="noConversion"/>
  </si>
  <si>
    <t>* 보스 정보를 바꾸고 싶은 경우 Ref. 표의 Criteria 값을 바꾸면 됨(루시드 LEV 230, ARC 540 / 윌 LEV 250, ARC 760 등).</t>
    <phoneticPr fontId="4" type="noConversion"/>
  </si>
  <si>
    <t>Criteria</t>
    <phoneticPr fontId="4" type="noConversion"/>
  </si>
  <si>
    <t>final</t>
    <phoneticPr fontId="4" type="noConversion"/>
  </si>
  <si>
    <t>미적용</t>
  </si>
  <si>
    <t>* 캐릭터 레벨이 몹보다 16레벨 이상 낮은 경우는 생각하지 않음(사냥/보스 어디에서든 보통 발생하지 않는 상황)</t>
    <phoneticPr fontId="4" type="noConversion"/>
  </si>
  <si>
    <t xml:space="preserve">  포스 관련 정보가 없는 보스는 D3 셀의 값을 "미적용"으로 선택할 것(Criteria의 ARC 값을 무시하게 됨)</t>
    <phoneticPr fontId="4" type="noConversion"/>
  </si>
  <si>
    <t>STR</t>
    <phoneticPr fontId="4" type="noConversion"/>
  </si>
  <si>
    <t>DEX</t>
    <phoneticPr fontId="4" type="noConversion"/>
  </si>
  <si>
    <t>INT</t>
    <phoneticPr fontId="4" type="noConversion"/>
  </si>
  <si>
    <t>LUK</t>
    <phoneticPr fontId="4" type="noConversion"/>
  </si>
  <si>
    <t>공%</t>
    <phoneticPr fontId="4" type="noConversion"/>
  </si>
  <si>
    <t>무기공</t>
    <phoneticPr fontId="4" type="noConversion"/>
  </si>
  <si>
    <t>총 STR%</t>
    <phoneticPr fontId="4" type="noConversion"/>
  </si>
  <si>
    <t>크확은 이미 100%라고 가정(계산 귀찮음)</t>
    <phoneticPr fontId="4" type="noConversion"/>
  </si>
  <si>
    <t>최종 데미지 증가량은 "지속 중일 때"의 최종 데미지 증가량을 나타내며, 지속시간이나 가동률 등 다른 변수를 고려하지 않음.</t>
    <phoneticPr fontId="4" type="noConversion"/>
  </si>
  <si>
    <t>혼돈의 피조물</t>
    <phoneticPr fontId="4" type="noConversion"/>
  </si>
  <si>
    <t>파괴의 피조물</t>
    <phoneticPr fontId="4" type="noConversion"/>
  </si>
  <si>
    <t>엄습하는 공포</t>
    <phoneticPr fontId="4" type="noConversion"/>
  </si>
  <si>
    <t>주시하는 공포</t>
    <phoneticPr fontId="4" type="noConversion"/>
  </si>
  <si>
    <t>공허의 하수인</t>
    <phoneticPr fontId="4" type="noConversion"/>
  </si>
  <si>
    <t>황혼의 하수인</t>
    <phoneticPr fontId="4" type="noConversion"/>
  </si>
  <si>
    <t>뒤엉킨 파편</t>
    <phoneticPr fontId="4" type="noConversion"/>
  </si>
  <si>
    <t>복종하는 파편</t>
    <phoneticPr fontId="4" type="noConversion"/>
  </si>
  <si>
    <t>날아드는 공포</t>
    <phoneticPr fontId="4" type="noConversion"/>
  </si>
  <si>
    <t>날아드는 절망</t>
    <phoneticPr fontId="4" type="noConversion"/>
  </si>
  <si>
    <t>어둠의 실패작</t>
    <phoneticPr fontId="4" type="noConversion"/>
  </si>
  <si>
    <t>어둠의 피조물</t>
    <phoneticPr fontId="4" type="noConversion"/>
  </si>
  <si>
    <t>거대한 골렘</t>
    <phoneticPr fontId="4" type="noConversion"/>
  </si>
  <si>
    <t>부서진 골렘</t>
    <phoneticPr fontId="4" type="noConversion"/>
  </si>
  <si>
    <t>조각난 골렘</t>
    <phoneticPr fontId="4" type="noConversion"/>
  </si>
  <si>
    <t>절망의 날개</t>
    <phoneticPr fontId="4" type="noConversion"/>
  </si>
  <si>
    <t>절망의 칼날</t>
    <phoneticPr fontId="4" type="noConversion"/>
  </si>
  <si>
    <t>침묵의 기사</t>
    <phoneticPr fontId="4" type="noConversion"/>
  </si>
  <si>
    <t>침묵의 정찰자</t>
    <phoneticPr fontId="4" type="noConversion"/>
  </si>
  <si>
    <t>침묵의 방랑자</t>
    <phoneticPr fontId="4" type="noConversion"/>
  </si>
  <si>
    <t>리버스 다크소울</t>
    <phoneticPr fontId="4" type="noConversion"/>
  </si>
  <si>
    <t>침묵의 감시자</t>
    <phoneticPr fontId="4" type="noConversion"/>
  </si>
  <si>
    <t>침묵의 암살자</t>
    <phoneticPr fontId="4" type="noConversion"/>
  </si>
  <si>
    <t>절망에 빠진 자</t>
    <phoneticPr fontId="4" type="noConversion"/>
  </si>
  <si>
    <t>절망에 매인 자</t>
    <phoneticPr fontId="4" type="noConversion"/>
  </si>
  <si>
    <t>터비온</t>
    <phoneticPr fontId="4" type="noConversion"/>
  </si>
  <si>
    <t>디스터비온</t>
    <phoneticPr fontId="4" type="noConversion"/>
  </si>
  <si>
    <t>안세스티온</t>
    <phoneticPr fontId="4" type="noConversion"/>
  </si>
  <si>
    <t>어센시온</t>
    <phoneticPr fontId="4" type="noConversion"/>
  </si>
  <si>
    <t>포어베리온</t>
    <phoneticPr fontId="4" type="noConversion"/>
  </si>
  <si>
    <t>엠브리온</t>
    <phoneticPr fontId="4" type="noConversion"/>
  </si>
  <si>
    <t>체감 HP</t>
    <phoneticPr fontId="4" type="noConversion"/>
  </si>
  <si>
    <t>실제 획득 EXP</t>
    <phoneticPr fontId="4" type="noConversion"/>
  </si>
  <si>
    <t>방황하는 그레이더스트</t>
    <phoneticPr fontId="4" type="noConversion"/>
  </si>
  <si>
    <r>
      <t>트</t>
    </r>
    <r>
      <rPr>
        <b/>
        <sz val="11"/>
        <color theme="1"/>
        <rFont val="맑은 고딕"/>
        <family val="3"/>
        <charset val="129"/>
        <scheme val="minor"/>
      </rPr>
      <t>랜</t>
    </r>
    <r>
      <rPr>
        <sz val="11"/>
        <color theme="1"/>
        <rFont val="맑은 고딕"/>
        <family val="2"/>
        <charset val="129"/>
        <scheme val="minor"/>
      </rPr>
      <t>센디온</t>
    </r>
    <phoneticPr fontId="4" type="noConversion"/>
  </si>
  <si>
    <t>HP 계수</t>
    <phoneticPr fontId="4" type="noConversion"/>
  </si>
  <si>
    <t>Damage</t>
    <phoneticPr fontId="4" type="noConversion"/>
  </si>
  <si>
    <t>* EXP 계산 때문에 +40~-40 구간 모두 정리하였음. 데이터량이 많으니 레벨/포스값 대입을 이용하는 것이 더 편리함</t>
    <phoneticPr fontId="4" type="noConversion"/>
  </si>
  <si>
    <t>LEV diff.</t>
    <phoneticPr fontId="4" type="noConversion"/>
  </si>
  <si>
    <t>포스 계수</t>
    <phoneticPr fontId="4" type="noConversion"/>
  </si>
  <si>
    <t>아케인포스</t>
    <phoneticPr fontId="4" type="noConversion"/>
  </si>
  <si>
    <t>EXP 계수</t>
    <phoneticPr fontId="4" type="noConversion"/>
  </si>
  <si>
    <t>10초딜은 추후 제작 예정</t>
    <phoneticPr fontId="4" type="noConversion"/>
  </si>
  <si>
    <t>임팩트(오라)</t>
    <phoneticPr fontId="4" type="noConversion"/>
  </si>
  <si>
    <t>어웨슬래시(1타, 오라)</t>
    <phoneticPr fontId="4" type="noConversion"/>
  </si>
  <si>
    <t>어웨슬래시(2타, 오라)</t>
  </si>
  <si>
    <t>어웨슬래시(3타, 오라)</t>
  </si>
  <si>
    <t>어웨슬래시(4타, 오라)</t>
  </si>
  <si>
    <t>서버러스(노어웨, 오라)</t>
    <phoneticPr fontId="4" type="noConversion"/>
  </si>
  <si>
    <t>크라이(어웨, 오라)</t>
    <phoneticPr fontId="4" type="noConversion"/>
  </si>
  <si>
    <t>어웨슬래시 1타(오라파동)</t>
    <phoneticPr fontId="4" type="noConversion"/>
  </si>
  <si>
    <t>어웨슬래시 2타(오라파동)</t>
  </si>
  <si>
    <t>어웨슬래시 3타(오라파동)</t>
  </si>
  <si>
    <t>어웨슬래시 4타(오라파동)</t>
  </si>
  <si>
    <t>크라이(오라파동)</t>
    <phoneticPr fontId="4" type="noConversion"/>
  </si>
  <si>
    <t>임팩트(어웨파동)</t>
    <phoneticPr fontId="4" type="noConversion"/>
  </si>
  <si>
    <t>서버러스(오라파동)</t>
    <phoneticPr fontId="4" type="noConversion"/>
  </si>
  <si>
    <t>노멀슬래시(1타, 오라, 리메인)</t>
    <phoneticPr fontId="4" type="noConversion"/>
  </si>
  <si>
    <t>슬래시(오라파동)</t>
    <phoneticPr fontId="4" type="noConversion"/>
  </si>
  <si>
    <t>오라웨폰(파동, 합)</t>
    <phoneticPr fontId="4" type="noConversion"/>
  </si>
  <si>
    <t>DPM #3</t>
    <phoneticPr fontId="4" type="noConversion"/>
  </si>
  <si>
    <t>20190820 데몬슬레이어 DPM / KMS 1.2.321</t>
    <phoneticPr fontId="4" type="noConversion"/>
  </si>
  <si>
    <t>20190820 데몬슬레이어 리메인 ON DPM / KMS 1.2.321</t>
    <phoneticPr fontId="4" type="noConversion"/>
  </si>
  <si>
    <t>20190820 데몬슬레이어 리메인 ON(딜사이클 변경X) DPM / KMS 1.2.321</t>
    <phoneticPr fontId="4" type="noConversion"/>
  </si>
  <si>
    <t>* 철저하게 데몬슬레이어에만 맞춰져 있습니다. 개인별로 다를 수 있는 스펙 요소 등은 보통 잠금이 해제되어 있으니(색칠된 셀) 상황에 맞게 입력/수정하여 사용하시면 되겠습니다. DPM 시트를 제외하고는 타 직업도 사용 가능한 시트가 꽤 많으니 적절히 사용하시면 됩니다.</t>
    <phoneticPr fontId="4" type="noConversion"/>
  </si>
  <si>
    <t>* 일부 시트는 숨김처리 되어 있거나 업데이트가 덜 되어 있습니다. 되는 대로 업데이트해서 업로드하도록 하겠습니다.</t>
    <phoneticPr fontId="4" type="noConversion"/>
  </si>
  <si>
    <t>Changelog</t>
    <phoneticPr fontId="4" type="noConversion"/>
  </si>
  <si>
    <t>v190820</t>
    <phoneticPr fontId="4" type="noConversion"/>
  </si>
  <si>
    <t>최초 정식 공개</t>
    <phoneticPr fontId="4" type="noConversion"/>
  </si>
  <si>
    <t>* 데슬조아</t>
    <phoneticPr fontId="4" type="noConversion"/>
  </si>
  <si>
    <t>* 이 파일의 무단 배포는 금지합니다. 파일 공유는 가급적 원본 게시글 링크 첨부를 이용해 주시기 바랍니다. 혹시 제작자가 아닌 사람이 개인 블로그/인벤 게시글이 아닌 곳에 파일이 업로드한 것을 목격하셨다면 메일로 바로 문의해주시면 감사하겠습니다.</t>
    <phoneticPr fontId="4" type="noConversion"/>
  </si>
  <si>
    <t>10레벨당 힘1 = 힘 n%</t>
    <phoneticPr fontId="4" type="noConversion"/>
  </si>
  <si>
    <t>공 3</t>
    <phoneticPr fontId="4" type="noConversion"/>
  </si>
  <si>
    <t>최종데미지 환산치</t>
    <phoneticPr fontId="4" type="noConversion"/>
  </si>
  <si>
    <t>모법링크</t>
    <phoneticPr fontId="4" type="noConversion"/>
  </si>
  <si>
    <t>v190827</t>
    <phoneticPr fontId="4" type="noConversion"/>
  </si>
  <si>
    <t>STR%</t>
    <phoneticPr fontId="4" type="noConversion"/>
  </si>
  <si>
    <t>제거 반지</t>
    <phoneticPr fontId="4" type="noConversion"/>
  </si>
  <si>
    <t>제거 후*</t>
    <phoneticPr fontId="4" type="noConversion"/>
  </si>
  <si>
    <t>크뎀 1%</t>
    <phoneticPr fontId="4" type="noConversion"/>
  </si>
  <si>
    <t>데미지 1%</t>
    <phoneticPr fontId="4" type="noConversion"/>
  </si>
  <si>
    <t>MP</t>
    <phoneticPr fontId="4" type="noConversion"/>
  </si>
  <si>
    <t>스탠스</t>
    <phoneticPr fontId="4" type="noConversion"/>
  </si>
  <si>
    <t>모법링크 반영, Seed 시트 개선, HS 시트 숨김 해제, DPM에 하이퍼스탯의 일부 값들을 자동 반영</t>
    <phoneticPr fontId="4" type="noConversion"/>
  </si>
  <si>
    <t>v191003</t>
    <phoneticPr fontId="4" type="noConversion"/>
  </si>
  <si>
    <t>요르문간드 상향 조정, 오라웨폰 하향 조정 반영</t>
    <phoneticPr fontId="4" type="noConversion"/>
  </si>
  <si>
    <t>공격주기</t>
    <phoneticPr fontId="4" type="noConversion"/>
  </si>
  <si>
    <t>준비시간</t>
    <phoneticPr fontId="4" type="noConversion"/>
  </si>
  <si>
    <t>실제 발동 주기</t>
    <phoneticPr fontId="4" type="noConversion"/>
  </si>
  <si>
    <t>올스탯 1%</t>
    <phoneticPr fontId="4" type="noConversion"/>
  </si>
  <si>
    <t>덱 1%</t>
    <phoneticPr fontId="4" type="noConversion"/>
  </si>
  <si>
    <t>v191017</t>
    <phoneticPr fontId="4" type="noConversion"/>
  </si>
  <si>
    <t>오라웨폰 상향 조정 반영</t>
    <phoneticPr fontId="4" type="noConversion"/>
  </si>
  <si>
    <t>어빌 상추뎀</t>
    <phoneticPr fontId="4" type="noConversion"/>
  </si>
  <si>
    <t>v191102</t>
    <phoneticPr fontId="4" type="noConversion"/>
  </si>
  <si>
    <t>* 업데이트 예정 목록: 10초/40초딜, 사냥딜</t>
    <phoneticPr fontId="4" type="noConversion"/>
  </si>
  <si>
    <t>v170609</t>
    <phoneticPr fontId="4" type="noConversion"/>
  </si>
  <si>
    <t>최초 제작</t>
    <phoneticPr fontId="4" type="noConversion"/>
  </si>
  <si>
    <t>어빌 상추뎀 항목 추가, 보스가 아닌 일반 몬스터에게 스킬 추가 데미지% 대신 추가 보공이 반영되고 있던 문제 수정, 하이퍼스탯/스타포스 시트 추가</t>
    <phoneticPr fontId="4" type="noConversion"/>
  </si>
  <si>
    <t>* 하이퍼스탯 모의분배 시트(임시)</t>
    <phoneticPr fontId="4" type="noConversion"/>
  </si>
  <si>
    <t>한손도끼/둔기/검/케인/석궁 추옵표</t>
    <phoneticPr fontId="4" type="noConversion"/>
  </si>
  <si>
    <t>1단계</t>
    <phoneticPr fontId="4" type="noConversion"/>
  </si>
  <si>
    <t>2단계</t>
    <phoneticPr fontId="4" type="noConversion"/>
  </si>
  <si>
    <t>3단계</t>
    <phoneticPr fontId="4" type="noConversion"/>
  </si>
  <si>
    <t>4단계</t>
    <phoneticPr fontId="4" type="noConversion"/>
  </si>
  <si>
    <t>5단계</t>
    <phoneticPr fontId="4" type="noConversion"/>
  </si>
  <si>
    <t>15% 9작, 4단계 추옵(2추)기준 공격력 표</t>
    <phoneticPr fontId="4" type="noConversion"/>
  </si>
  <si>
    <t>12성</t>
    <phoneticPr fontId="4" type="noConversion"/>
  </si>
  <si>
    <t>15성</t>
    <phoneticPr fontId="4" type="noConversion"/>
  </si>
  <si>
    <t>17성</t>
    <phoneticPr fontId="4" type="noConversion"/>
  </si>
  <si>
    <t>22성</t>
    <phoneticPr fontId="4" type="noConversion"/>
  </si>
  <si>
    <t>10성</t>
    <phoneticPr fontId="4" type="noConversion"/>
  </si>
  <si>
    <t>25성</t>
    <phoneticPr fontId="4" type="noConversion"/>
  </si>
  <si>
    <t>아케인 11성만 찍어도 22앱보다 좋습니다 아케인쓰세요</t>
    <phoneticPr fontId="4" type="noConversion"/>
  </si>
  <si>
    <r>
      <rPr>
        <sz val="11"/>
        <color rgb="FFFF0000"/>
        <rFont val="맑은 고딕"/>
        <family val="3"/>
        <charset val="129"/>
        <scheme val="minor"/>
      </rPr>
      <t>*</t>
    </r>
    <r>
      <rPr>
        <sz val="11"/>
        <color theme="1"/>
        <rFont val="맑은 고딕"/>
        <family val="2"/>
        <charset val="129"/>
        <scheme val="minor"/>
      </rPr>
      <t xml:space="preserve"> 루타비스 3세트 효과 공격력 50을 포기하는 것을 고려한 단순 보정값</t>
    </r>
    <phoneticPr fontId="4" type="noConversion"/>
  </si>
  <si>
    <r>
      <rPr>
        <sz val="11"/>
        <rFont val="맑은 고딕"/>
        <family val="3"/>
        <charset val="129"/>
        <scheme val="minor"/>
      </rPr>
      <t>200(보정</t>
    </r>
    <r>
      <rPr>
        <sz val="11"/>
        <color rgb="FFFF0000"/>
        <rFont val="맑은 고딕"/>
        <family val="3"/>
        <charset val="129"/>
        <scheme val="minor"/>
      </rPr>
      <t>*</t>
    </r>
    <r>
      <rPr>
        <sz val="11"/>
        <rFont val="맑은 고딕"/>
        <family val="3"/>
        <charset val="129"/>
        <scheme val="minor"/>
      </rPr>
      <t>)</t>
    </r>
  </si>
  <si>
    <r>
      <t xml:space="preserve">제거 후 스펙은 근사된 값입니다. 실제 정확한 값은 직접 시드링 착용 후 기입하시면 됩니다(잠금 해제되어 있음). </t>
    </r>
    <r>
      <rPr>
        <b/>
        <sz val="11"/>
        <color theme="1"/>
        <rFont val="맑은 고딕"/>
        <family val="3"/>
        <charset val="129"/>
        <scheme val="minor"/>
      </rPr>
      <t>최종 데미지 증가량 연산은 제거 후 스펙 기준으로 이루어집니다.</t>
    </r>
    <phoneticPr fontId="4" type="noConversion"/>
  </si>
  <si>
    <t>수동 계산 필요&gt;&gt;</t>
    <phoneticPr fontId="4" type="noConversion"/>
  </si>
  <si>
    <t>잔여</t>
    <phoneticPr fontId="4" type="noConversion"/>
  </si>
  <si>
    <t>v191105</t>
    <phoneticPr fontId="4" type="noConversion"/>
  </si>
  <si>
    <t>오라웨폰 주기가 7.5초로 반영되고 있던 문제 수정, 오라웨폰 주기 오류 수정이 확인되어 주기 5.2초로 변경</t>
    <phoneticPr fontId="4" type="noConversion"/>
  </si>
  <si>
    <t>덱 1</t>
    <phoneticPr fontId="4" type="noConversion"/>
  </si>
  <si>
    <t>힘 30(스탯% 적용X)</t>
    <phoneticPr fontId="4" type="noConversion"/>
  </si>
  <si>
    <t>강화비용(여로)</t>
    <phoneticPr fontId="4" type="noConversion"/>
  </si>
  <si>
    <t>누적 비용(여로)</t>
    <phoneticPr fontId="4" type="noConversion"/>
  </si>
  <si>
    <t>v191130</t>
    <phoneticPr fontId="4" type="noConversion"/>
  </si>
  <si>
    <t>소멸의 여로 아케인심볼 강화비용 반영</t>
    <phoneticPr fontId="4" type="noConversion"/>
  </si>
  <si>
    <t>강화비용 감소</t>
    <phoneticPr fontId="4" type="noConversion"/>
  </si>
  <si>
    <t>v191225</t>
    <phoneticPr fontId="4" type="noConversion"/>
  </si>
  <si>
    <t>칭호</t>
    <phoneticPr fontId="4" type="noConversion"/>
  </si>
  <si>
    <t>딜사이클 = 크라이 디버프가 이미 묻은 상태에서 어웨슬래시 7사이클 + 3타까지</t>
    <phoneticPr fontId="4" type="noConversion"/>
  </si>
  <si>
    <t>딜사이클 = 리레 사용, 0초/20초에 크라이(2460ms), 나머지 어웨슬래시</t>
    <phoneticPr fontId="4" type="noConversion"/>
  </si>
  <si>
    <t>트라</t>
    <phoneticPr fontId="4" type="noConversion"/>
  </si>
  <si>
    <t>몬토</t>
    <phoneticPr fontId="4" type="noConversion"/>
  </si>
  <si>
    <t>수색형 T드론 A형</t>
    <phoneticPr fontId="4" type="noConversion"/>
  </si>
  <si>
    <t>수색형 T드론 B형</t>
    <phoneticPr fontId="4" type="noConversion"/>
  </si>
  <si>
    <t>전투형 T드론 A형</t>
    <phoneticPr fontId="4" type="noConversion"/>
  </si>
  <si>
    <t>전투형 T드론 B형</t>
    <phoneticPr fontId="4" type="noConversion"/>
  </si>
  <si>
    <t>섬멸형 T드론 A형</t>
    <phoneticPr fontId="4" type="noConversion"/>
  </si>
  <si>
    <t>섬멸형 T드론 B형</t>
    <phoneticPr fontId="4" type="noConversion"/>
  </si>
  <si>
    <t>수색형 T드론 A2형</t>
    <phoneticPr fontId="4" type="noConversion"/>
  </si>
  <si>
    <t>플라잉몹</t>
    <phoneticPr fontId="4" type="noConversion"/>
  </si>
  <si>
    <t>강력한 수색형 T드론 A형</t>
    <phoneticPr fontId="4" type="noConversion"/>
  </si>
  <si>
    <t>강력한 수색형 T드론 B형</t>
    <phoneticPr fontId="4" type="noConversion"/>
  </si>
  <si>
    <t>강력한 전투형 T드론 A형</t>
    <phoneticPr fontId="4" type="noConversion"/>
  </si>
  <si>
    <t>강력한 전투형 T드론 B형</t>
    <phoneticPr fontId="4" type="noConversion"/>
  </si>
  <si>
    <t>강력한 섬멸형 T드론 A형</t>
    <phoneticPr fontId="4" type="noConversion"/>
  </si>
  <si>
    <t>강력한 섬멸형 T드론 B형</t>
    <phoneticPr fontId="4" type="noConversion"/>
  </si>
  <si>
    <t>숨겨진</t>
    <phoneticPr fontId="4" type="noConversion"/>
  </si>
  <si>
    <t>(필드/플라잉)</t>
    <phoneticPr fontId="4" type="noConversion"/>
  </si>
  <si>
    <t>푸른 눈의 가고일</t>
    <phoneticPr fontId="4" type="noConversion"/>
  </si>
  <si>
    <t>붉은 눈의 가고일</t>
    <phoneticPr fontId="4" type="noConversion"/>
  </si>
  <si>
    <t>* (필드/플라잉): 필드에서도 출현하고 플라잉몹으로도 출현하는 경우.
  포스컷은 필드 기준임</t>
    <phoneticPr fontId="4" type="noConversion"/>
  </si>
  <si>
    <t>Mob 시트에 리버스 시티 데이터 추가, 해당 시트의 로직 오류 수정</t>
    <phoneticPr fontId="4" type="noConversion"/>
  </si>
  <si>
    <t>* 체감 HP는 실제 몹 HP를 레벨, 아케인포스에 의한 최종 데미지 계수
 로 나눈 값.</t>
    <phoneticPr fontId="4" type="noConversion"/>
  </si>
  <si>
    <t>v200118</t>
    <phoneticPr fontId="4" type="noConversion"/>
  </si>
  <si>
    <t>이계 여신의 축복의 최종 데미지 증가율이 5의 배수가 아닌 스킬레벨에서 1%p씩 낮게 적용된 문제 수정, 랜덤버프 시전수가 9회가 된 점 반영</t>
    <phoneticPr fontId="4" type="noConversion"/>
  </si>
  <si>
    <t>데몬 어웨이크닝 OFF 시 #DIV/0! 오류 발생 해결</t>
    <phoneticPr fontId="4" type="noConversion"/>
  </si>
  <si>
    <t>일몹뎀%*</t>
  </si>
  <si>
    <t>v200122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</si>
</sst>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76" formatCode="0.000%"/>
    <numFmt numFmtId="177" formatCode="#,##0_ "/>
    <numFmt numFmtId="178" formatCode="0.0000%"/>
    <numFmt numFmtId="179" formatCode="0.00&quot;s&quot;"/>
    <numFmt numFmtId="180" formatCode="0.0_ "/>
    <numFmt numFmtId="181" formatCode="0.00_ "/>
    <numFmt numFmtId="182" formatCode="#,##0_);[Red]\(#,##0\)"/>
    <numFmt numFmtId="183" formatCode="0.0000_ "/>
    <numFmt numFmtId="184" formatCode="0.0000000000000_ "/>
    <numFmt numFmtId="185" formatCode="0_);[Red]\(0\)"/>
    <numFmt numFmtId="186" formatCode="0_ "/>
    <numFmt numFmtId="187" formatCode="&quot;/&quot;0"/>
    <numFmt numFmtId="188" formatCode="0&quot;일&quot;"/>
    <numFmt numFmtId="189" formatCode="&quot;심&quot;&quot;볼&quot;\ 0&quot;개&quot;"/>
    <numFmt numFmtId="190" formatCode="#,##0&quot; 메소&quot;"/>
    <numFmt numFmtId="191" formatCode="#,##0_ &quot;메소&quot;"/>
    <numFmt numFmtId="192" formatCode="#,###&quot;개&quot;"/>
    <numFmt numFmtId="193" formatCode="0.000000%"/>
    <numFmt numFmtId="194" formatCode="0.00000%"/>
    <numFmt numFmtId="195" formatCode="0.00000000000000%"/>
  </numFmts>
  <fonts count="30">
    <font>
      <sz val="11"/>
      <color theme="1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57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6100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color theme="4"/>
      <name val="맑은 고딕"/>
      <family val="2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 tint="-0.249977111117893"/>
      <name val="맑은 고딕"/>
      <family val="2"/>
      <charset val="129"/>
      <scheme val="minor"/>
    </font>
    <font>
      <sz val="11"/>
      <color rgb="FF000000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theme="0" tint="-0.1499984740745262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1"/>
      <color theme="8"/>
      <name val="맑은 고딕"/>
      <family val="2"/>
      <charset val="129"/>
      <scheme val="minor"/>
    </font>
    <font>
      <sz val="11"/>
      <color theme="0" tint="-0.34998626667073579"/>
      <name val="맑은 고딕"/>
      <family val="2"/>
      <charset val="129"/>
      <scheme val="minor"/>
    </font>
    <font>
      <sz val="11"/>
      <color theme="0" tint="-0.34998626667073579"/>
      <name val="맑은 고딕"/>
      <family val="3"/>
      <charset val="129"/>
      <scheme val="minor"/>
    </font>
    <font>
      <strike/>
      <sz val="11"/>
      <color theme="0" tint="-0.34998626667073579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9"/>
      <color indexed="81"/>
      <name val="맑은 고딕"/>
      <family val="3"/>
      <charset val="129"/>
      <scheme val="maj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CBFDF7"/>
        <bgColor indexed="64"/>
      </patternFill>
    </fill>
  </fills>
  <borders count="3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7" fillId="5" borderId="17" applyNumberFormat="0" applyAlignment="0" applyProtection="0">
      <alignment vertical="center"/>
    </xf>
    <xf numFmtId="0" fontId="18" fillId="5" borderId="1" applyNumberFormat="0" applyAlignment="0" applyProtection="0">
      <alignment vertical="center"/>
    </xf>
    <xf numFmtId="0" fontId="16" fillId="6" borderId="18" applyNumberFormat="0" applyFont="0" applyAlignment="0" applyProtection="0">
      <alignment vertical="center"/>
    </xf>
  </cellStyleXfs>
  <cellXfs count="223">
    <xf numFmtId="0" fontId="0" fillId="0" borderId="0" xfId="0">
      <alignment vertical="center"/>
    </xf>
    <xf numFmtId="9" fontId="0" fillId="0" borderId="0" xfId="0" applyNumberFormat="1">
      <alignment vertical="center"/>
    </xf>
    <xf numFmtId="10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2" xfId="0" applyBorder="1">
      <alignment vertical="center"/>
    </xf>
    <xf numFmtId="177" fontId="0" fillId="0" borderId="3" xfId="0" applyNumberFormat="1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177" fontId="0" fillId="0" borderId="6" xfId="0" applyNumberFormat="1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177" fontId="0" fillId="0" borderId="9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177" fontId="0" fillId="0" borderId="12" xfId="0" applyNumberFormat="1" applyBorder="1">
      <alignment vertical="center"/>
    </xf>
    <xf numFmtId="0" fontId="0" fillId="0" borderId="12" xfId="0" applyBorder="1">
      <alignment vertical="center"/>
    </xf>
    <xf numFmtId="177" fontId="0" fillId="0" borderId="2" xfId="0" applyNumberFormat="1" applyBorder="1" applyAlignment="1">
      <alignment horizontal="right" vertical="center"/>
    </xf>
    <xf numFmtId="177" fontId="0" fillId="0" borderId="4" xfId="0" applyNumberFormat="1" applyBorder="1" applyAlignment="1">
      <alignment horizontal="right" vertical="center"/>
    </xf>
    <xf numFmtId="177" fontId="0" fillId="0" borderId="5" xfId="0" applyNumberFormat="1" applyBorder="1" applyAlignment="1">
      <alignment horizontal="right" vertical="center"/>
    </xf>
    <xf numFmtId="177" fontId="0" fillId="0" borderId="7" xfId="0" applyNumberFormat="1" applyBorder="1" applyAlignment="1">
      <alignment horizontal="right" vertical="center"/>
    </xf>
    <xf numFmtId="177" fontId="0" fillId="0" borderId="8" xfId="0" applyNumberFormat="1" applyBorder="1" applyAlignment="1">
      <alignment horizontal="right" vertical="center"/>
    </xf>
    <xf numFmtId="177" fontId="0" fillId="0" borderId="10" xfId="0" applyNumberFormat="1" applyBorder="1" applyAlignment="1">
      <alignment horizontal="right" vertical="center"/>
    </xf>
    <xf numFmtId="178" fontId="0" fillId="0" borderId="12" xfId="0" applyNumberFormat="1" applyBorder="1">
      <alignment vertical="center"/>
    </xf>
    <xf numFmtId="178" fontId="0" fillId="0" borderId="6" xfId="0" applyNumberFormat="1" applyBorder="1">
      <alignment vertical="center"/>
    </xf>
    <xf numFmtId="178" fontId="0" fillId="0" borderId="9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0" xfId="0" applyNumberForma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right" vertical="center"/>
    </xf>
    <xf numFmtId="177" fontId="0" fillId="0" borderId="7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0" fillId="0" borderId="4" xfId="0" applyNumberFormat="1" applyBorder="1">
      <alignment vertical="center"/>
    </xf>
    <xf numFmtId="0" fontId="8" fillId="0" borderId="0" xfId="0" applyFont="1">
      <alignment vertical="center"/>
    </xf>
    <xf numFmtId="176" fontId="0" fillId="0" borderId="0" xfId="0" applyNumberFormat="1">
      <alignment vertical="center"/>
    </xf>
    <xf numFmtId="179" fontId="0" fillId="0" borderId="0" xfId="0" applyNumberFormat="1">
      <alignment vertical="center"/>
    </xf>
    <xf numFmtId="180" fontId="0" fillId="0" borderId="0" xfId="0" applyNumberFormat="1">
      <alignment vertical="center"/>
    </xf>
    <xf numFmtId="181" fontId="0" fillId="0" borderId="0" xfId="0" applyNumberFormat="1">
      <alignment vertical="center"/>
    </xf>
    <xf numFmtId="180" fontId="7" fillId="0" borderId="0" xfId="0" applyNumberFormat="1" applyFont="1">
      <alignment vertical="center"/>
    </xf>
    <xf numFmtId="9" fontId="5" fillId="0" borderId="0" xfId="0" applyNumberFormat="1" applyFont="1">
      <alignment vertical="center"/>
    </xf>
    <xf numFmtId="182" fontId="0" fillId="0" borderId="0" xfId="0" applyNumberFormat="1">
      <alignment vertical="center"/>
    </xf>
    <xf numFmtId="9" fontId="11" fillId="0" borderId="0" xfId="0" applyNumberFormat="1" applyFont="1">
      <alignment vertical="center"/>
    </xf>
    <xf numFmtId="183" fontId="0" fillId="0" borderId="0" xfId="0" applyNumberFormat="1">
      <alignment vertical="center"/>
    </xf>
    <xf numFmtId="0" fontId="12" fillId="0" borderId="0" xfId="0" applyFont="1">
      <alignment vertical="center"/>
    </xf>
    <xf numFmtId="9" fontId="12" fillId="0" borderId="0" xfId="0" applyNumberFormat="1" applyFont="1">
      <alignment vertical="center"/>
    </xf>
    <xf numFmtId="184" fontId="0" fillId="0" borderId="0" xfId="0" applyNumberFormat="1">
      <alignment vertical="center"/>
    </xf>
    <xf numFmtId="186" fontId="0" fillId="0" borderId="0" xfId="0" applyNumberFormat="1">
      <alignment vertical="center"/>
    </xf>
    <xf numFmtId="186" fontId="8" fillId="0" borderId="0" xfId="0" applyNumberFormat="1" applyFont="1">
      <alignment vertical="center"/>
    </xf>
    <xf numFmtId="187" fontId="0" fillId="0" borderId="0" xfId="0" applyNumberFormat="1">
      <alignment vertical="center"/>
    </xf>
    <xf numFmtId="180" fontId="13" fillId="0" borderId="0" xfId="0" applyNumberFormat="1" applyFont="1">
      <alignment vertical="center"/>
    </xf>
    <xf numFmtId="194" fontId="0" fillId="0" borderId="0" xfId="0" applyNumberFormat="1">
      <alignment vertical="center"/>
    </xf>
    <xf numFmtId="0" fontId="15" fillId="0" borderId="0" xfId="0" applyFo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>
      <alignment vertical="center"/>
    </xf>
    <xf numFmtId="177" fontId="5" fillId="0" borderId="0" xfId="0" applyNumberFormat="1" applyFont="1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9" fontId="0" fillId="0" borderId="0" xfId="0" applyNumberFormat="1" applyProtection="1">
      <alignment vertical="center"/>
      <protection locked="0"/>
    </xf>
    <xf numFmtId="10" fontId="0" fillId="0" borderId="0" xfId="0" applyNumberFormat="1" applyProtection="1">
      <alignment vertical="center"/>
      <protection locked="0"/>
    </xf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0" fillId="0" borderId="0" xfId="0">
      <alignment vertical="center"/>
    </xf>
    <xf numFmtId="177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11" fillId="0" borderId="0" xfId="0" applyFont="1">
      <alignment vertical="center"/>
    </xf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0" fillId="0" borderId="0" xfId="0" applyFont="1">
      <alignment vertical="center"/>
    </xf>
    <xf numFmtId="0" fontId="0" fillId="0" borderId="0" xfId="0">
      <alignment vertical="center"/>
    </xf>
    <xf numFmtId="177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178" fontId="15" fillId="0" borderId="3" xfId="0" applyNumberFormat="1" applyFont="1" applyBorder="1">
      <alignment vertical="center"/>
    </xf>
    <xf numFmtId="178" fontId="15" fillId="0" borderId="6" xfId="0" applyNumberFormat="1" applyFont="1" applyBorder="1">
      <alignment vertical="center"/>
    </xf>
    <xf numFmtId="177" fontId="0" fillId="0" borderId="13" xfId="0" applyNumberFormat="1" applyBorder="1">
      <alignment vertical="center"/>
    </xf>
    <xf numFmtId="177" fontId="1" fillId="2" borderId="0" xfId="1" applyNumberFormat="1" applyProtection="1">
      <alignment vertical="center"/>
      <protection locked="0"/>
    </xf>
    <xf numFmtId="177" fontId="3" fillId="4" borderId="0" xfId="3" applyNumberFormat="1" applyProtection="1">
      <alignment vertical="center"/>
      <protection locked="0"/>
    </xf>
    <xf numFmtId="177" fontId="2" fillId="3" borderId="0" xfId="2" applyNumberFormat="1" applyProtection="1">
      <alignment vertical="center"/>
      <protection locked="0"/>
    </xf>
    <xf numFmtId="177" fontId="1" fillId="2" borderId="1" xfId="1" applyNumberFormat="1" applyBorder="1" applyProtection="1">
      <alignment vertical="center"/>
      <protection locked="0"/>
    </xf>
    <xf numFmtId="0" fontId="15" fillId="0" borderId="0" xfId="3" applyFont="1" applyFill="1" applyProtection="1">
      <alignment vertical="center"/>
      <protection locked="0"/>
    </xf>
    <xf numFmtId="0" fontId="2" fillId="3" borderId="0" xfId="2" applyProtection="1">
      <alignment vertical="center"/>
      <protection locked="0"/>
    </xf>
    <xf numFmtId="9" fontId="1" fillId="2" borderId="0" xfId="1" applyNumberFormat="1" applyProtection="1">
      <alignment vertical="center"/>
      <protection locked="0"/>
    </xf>
    <xf numFmtId="9" fontId="6" fillId="2" borderId="0" xfId="1" applyNumberFormat="1" applyFont="1" applyProtection="1">
      <alignment vertical="center"/>
      <protection locked="0"/>
    </xf>
    <xf numFmtId="0" fontId="1" fillId="2" borderId="0" xfId="1" applyNumberFormat="1" applyProtection="1">
      <alignment vertical="center"/>
      <protection locked="0"/>
    </xf>
    <xf numFmtId="9" fontId="1" fillId="2" borderId="19" xfId="1" applyNumberFormat="1" applyBorder="1" applyProtection="1">
      <alignment vertical="center"/>
      <protection locked="0"/>
    </xf>
    <xf numFmtId="177" fontId="2" fillId="3" borderId="20" xfId="2" applyNumberFormat="1" applyBorder="1" applyProtection="1">
      <alignment vertical="center"/>
      <protection locked="0"/>
    </xf>
    <xf numFmtId="9" fontId="2" fillId="3" borderId="20" xfId="2" applyNumberFormat="1" applyBorder="1" applyProtection="1">
      <alignment vertical="center"/>
      <protection locked="0"/>
    </xf>
    <xf numFmtId="10" fontId="2" fillId="3" borderId="20" xfId="2" applyNumberFormat="1" applyBorder="1" applyProtection="1">
      <alignment vertical="center"/>
      <protection locked="0"/>
    </xf>
    <xf numFmtId="9" fontId="3" fillId="4" borderId="20" xfId="3" applyNumberFormat="1" applyBorder="1" applyProtection="1">
      <alignment vertical="center"/>
      <protection locked="0"/>
    </xf>
    <xf numFmtId="9" fontId="1" fillId="2" borderId="20" xfId="1" applyNumberFormat="1" applyBorder="1" applyProtection="1">
      <alignment vertical="center"/>
      <protection locked="0"/>
    </xf>
    <xf numFmtId="0" fontId="1" fillId="2" borderId="20" xfId="1" applyBorder="1" applyProtection="1">
      <alignment vertical="center"/>
      <protection locked="0"/>
    </xf>
    <xf numFmtId="185" fontId="21" fillId="5" borderId="1" xfId="5" applyNumberFormat="1" applyFont="1" applyProtection="1">
      <alignment vertical="center"/>
      <protection locked="0"/>
    </xf>
    <xf numFmtId="9" fontId="0" fillId="6" borderId="18" xfId="6" applyNumberFormat="1" applyFont="1" applyProtection="1">
      <alignment vertical="center"/>
      <protection locked="0"/>
    </xf>
    <xf numFmtId="180" fontId="7" fillId="6" borderId="18" xfId="6" applyNumberFormat="1" applyFont="1" applyProtection="1">
      <alignment vertical="center"/>
      <protection locked="0"/>
    </xf>
    <xf numFmtId="0" fontId="17" fillId="5" borderId="17" xfId="4" applyProtection="1">
      <alignment vertical="center"/>
      <protection locked="0"/>
    </xf>
    <xf numFmtId="0" fontId="17" fillId="5" borderId="17" xfId="4" applyAlignment="1" applyProtection="1">
      <alignment horizontal="right" vertical="center"/>
      <protection locked="0"/>
    </xf>
    <xf numFmtId="0" fontId="0" fillId="0" borderId="0" xfId="0">
      <alignment vertical="center"/>
    </xf>
    <xf numFmtId="0" fontId="5" fillId="0" borderId="0" xfId="0" applyFont="1">
      <alignment vertical="center"/>
    </xf>
    <xf numFmtId="9" fontId="15" fillId="0" borderId="0" xfId="2" applyNumberFormat="1" applyFont="1" applyFill="1" applyProtection="1">
      <alignment vertical="center"/>
      <protection locked="0"/>
    </xf>
    <xf numFmtId="0" fontId="0" fillId="7" borderId="21" xfId="0" applyFill="1" applyBorder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10" fontId="5" fillId="0" borderId="0" xfId="0" applyNumberFormat="1" applyFont="1" applyAlignment="1">
      <alignment horizontal="right" vertical="center"/>
    </xf>
    <xf numFmtId="10" fontId="5" fillId="0" borderId="0" xfId="0" applyNumberFormat="1" applyFont="1">
      <alignment vertical="center"/>
    </xf>
    <xf numFmtId="177" fontId="0" fillId="0" borderId="0" xfId="0" applyNumberFormat="1">
      <alignment vertical="center"/>
    </xf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0" fillId="0" borderId="0" xfId="0">
      <alignment vertical="center"/>
    </xf>
    <xf numFmtId="177" fontId="0" fillId="0" borderId="0" xfId="0" applyNumberFormat="1" applyBorder="1" applyAlignment="1">
      <alignment horizontal="right" vertical="center"/>
    </xf>
    <xf numFmtId="177" fontId="0" fillId="0" borderId="0" xfId="0" applyNumberFormat="1" applyBorder="1">
      <alignment vertical="center"/>
    </xf>
    <xf numFmtId="0" fontId="0" fillId="0" borderId="14" xfId="0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8" fontId="0" fillId="0" borderId="15" xfId="0" applyNumberFormat="1" applyBorder="1" applyAlignment="1">
      <alignment horizontal="center" vertical="center"/>
    </xf>
    <xf numFmtId="177" fontId="0" fillId="0" borderId="14" xfId="0" applyNumberFormat="1" applyBorder="1" applyAlignment="1">
      <alignment horizontal="center" vertical="center"/>
    </xf>
    <xf numFmtId="0" fontId="0" fillId="0" borderId="22" xfId="0" applyBorder="1">
      <alignment vertical="center"/>
    </xf>
    <xf numFmtId="177" fontId="0" fillId="0" borderId="23" xfId="0" applyNumberFormat="1" applyBorder="1">
      <alignment vertical="center"/>
    </xf>
    <xf numFmtId="0" fontId="0" fillId="0" borderId="23" xfId="0" applyBorder="1">
      <alignment vertical="center"/>
    </xf>
    <xf numFmtId="178" fontId="0" fillId="0" borderId="23" xfId="0" applyNumberFormat="1" applyBorder="1">
      <alignment vertical="center"/>
    </xf>
    <xf numFmtId="178" fontId="15" fillId="0" borderId="12" xfId="0" applyNumberFormat="1" applyFont="1" applyBorder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2" xfId="0" applyFill="1" applyBorder="1">
      <alignment vertical="center"/>
    </xf>
    <xf numFmtId="0" fontId="7" fillId="0" borderId="6" xfId="0" applyFont="1" applyFill="1" applyBorder="1">
      <alignment vertical="center"/>
    </xf>
    <xf numFmtId="177" fontId="0" fillId="0" borderId="24" xfId="0" applyNumberFormat="1" applyBorder="1">
      <alignment vertical="center"/>
    </xf>
    <xf numFmtId="177" fontId="0" fillId="0" borderId="25" xfId="0" applyNumberFormat="1" applyBorder="1" applyAlignment="1">
      <alignment horizontal="center" vertical="center"/>
    </xf>
    <xf numFmtId="177" fontId="0" fillId="0" borderId="26" xfId="0" applyNumberFormat="1" applyBorder="1" applyAlignment="1">
      <alignment horizontal="center" vertical="center"/>
    </xf>
    <xf numFmtId="177" fontId="0" fillId="0" borderId="27" xfId="0" applyNumberFormat="1" applyBorder="1" applyAlignment="1">
      <alignment horizontal="center" vertical="center"/>
    </xf>
    <xf numFmtId="177" fontId="0" fillId="0" borderId="28" xfId="0" applyNumberFormat="1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/>
    </xf>
    <xf numFmtId="177" fontId="0" fillId="0" borderId="30" xfId="0" applyNumberFormat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7" fillId="0" borderId="3" xfId="0" applyFont="1" applyBorder="1">
      <alignment vertical="center"/>
    </xf>
    <xf numFmtId="177" fontId="7" fillId="0" borderId="4" xfId="0" applyNumberFormat="1" applyFont="1" applyBorder="1">
      <alignment vertical="center"/>
    </xf>
    <xf numFmtId="0" fontId="0" fillId="0" borderId="12" xfId="0" applyBorder="1" applyAlignment="1">
      <alignment horizontal="right" vertical="center"/>
    </xf>
    <xf numFmtId="0" fontId="7" fillId="0" borderId="6" xfId="0" applyFont="1" applyBorder="1">
      <alignment vertical="center"/>
    </xf>
    <xf numFmtId="177" fontId="7" fillId="0" borderId="7" xfId="0" applyNumberFormat="1" applyFont="1" applyBorder="1">
      <alignment vertical="center"/>
    </xf>
    <xf numFmtId="177" fontId="0" fillId="0" borderId="16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9" fontId="0" fillId="0" borderId="0" xfId="0" applyNumberFormat="1" applyAlignment="1">
      <alignment horizontal="right" vertical="center"/>
    </xf>
    <xf numFmtId="0" fontId="0" fillId="0" borderId="0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right" vertical="center"/>
    </xf>
    <xf numFmtId="0" fontId="0" fillId="0" borderId="9" xfId="0" applyNumberFormat="1" applyBorder="1" applyAlignment="1">
      <alignment horizontal="right" vertical="center"/>
    </xf>
    <xf numFmtId="177" fontId="0" fillId="0" borderId="11" xfId="0" applyNumberFormat="1" applyBorder="1" applyAlignment="1">
      <alignment horizontal="right" vertical="center"/>
    </xf>
    <xf numFmtId="0" fontId="0" fillId="0" borderId="12" xfId="0" applyNumberFormat="1" applyBorder="1" applyAlignment="1">
      <alignment horizontal="right" vertical="center"/>
    </xf>
    <xf numFmtId="177" fontId="0" fillId="0" borderId="13" xfId="0" applyNumberFormat="1" applyBorder="1" applyAlignment="1">
      <alignment horizontal="right" vertical="center"/>
    </xf>
    <xf numFmtId="0" fontId="0" fillId="0" borderId="3" xfId="0" applyNumberFormat="1" applyBorder="1" applyAlignment="1">
      <alignment horizontal="right" vertical="center"/>
    </xf>
    <xf numFmtId="177" fontId="7" fillId="0" borderId="4" xfId="0" applyNumberFormat="1" applyFont="1" applyBorder="1" applyAlignment="1">
      <alignment horizontal="right" vertical="center"/>
    </xf>
    <xf numFmtId="177" fontId="1" fillId="2" borderId="31" xfId="1" applyNumberFormat="1" applyBorder="1" applyAlignment="1" applyProtection="1">
      <alignment horizontal="right" vertical="center"/>
      <protection locked="0"/>
    </xf>
    <xf numFmtId="180" fontId="8" fillId="0" borderId="0" xfId="0" applyNumberFormat="1" applyFont="1">
      <alignment vertical="center"/>
    </xf>
    <xf numFmtId="180" fontId="23" fillId="0" borderId="0" xfId="0" applyNumberFormat="1" applyFont="1">
      <alignment vertical="center"/>
    </xf>
    <xf numFmtId="0" fontId="0" fillId="0" borderId="0" xfId="0" applyAlignment="1">
      <alignment vertical="center"/>
    </xf>
    <xf numFmtId="176" fontId="11" fillId="0" borderId="0" xfId="0" applyNumberFormat="1" applyFont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5" fillId="0" borderId="34" xfId="0" applyFont="1" applyBorder="1">
      <alignment vertical="center"/>
    </xf>
    <xf numFmtId="0" fontId="5" fillId="0" borderId="35" xfId="0" applyFont="1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193" fontId="0" fillId="0" borderId="35" xfId="0" applyNumberFormat="1" applyBorder="1">
      <alignment vertical="center"/>
    </xf>
    <xf numFmtId="0" fontId="0" fillId="0" borderId="36" xfId="0" applyBorder="1">
      <alignment vertical="center"/>
    </xf>
    <xf numFmtId="193" fontId="0" fillId="0" borderId="37" xfId="0" applyNumberFormat="1" applyBorder="1">
      <alignment vertical="center"/>
    </xf>
    <xf numFmtId="1" fontId="0" fillId="0" borderId="0" xfId="0" applyNumberFormat="1">
      <alignment vertical="center"/>
    </xf>
    <xf numFmtId="186" fontId="0" fillId="0" borderId="0" xfId="0" applyNumberFormat="1" applyProtection="1">
      <alignment vertical="center"/>
      <protection locked="0"/>
    </xf>
    <xf numFmtId="0" fontId="0" fillId="0" borderId="0" xfId="0">
      <alignment vertical="center"/>
    </xf>
    <xf numFmtId="0" fontId="0" fillId="0" borderId="32" xfId="0" applyFill="1" applyBorder="1">
      <alignment vertical="center"/>
    </xf>
    <xf numFmtId="193" fontId="7" fillId="0" borderId="33" xfId="0" applyNumberFormat="1" applyFont="1" applyBorder="1">
      <alignment vertical="center"/>
    </xf>
    <xf numFmtId="0" fontId="0" fillId="0" borderId="36" xfId="0" applyFill="1" applyBorder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9" fontId="15" fillId="0" borderId="20" xfId="2" applyNumberFormat="1" applyFont="1" applyFill="1" applyBorder="1" applyProtection="1">
      <alignment vertical="center"/>
      <protection locked="0"/>
    </xf>
    <xf numFmtId="0" fontId="0" fillId="0" borderId="0" xfId="0">
      <alignment vertical="center"/>
    </xf>
    <xf numFmtId="193" fontId="7" fillId="0" borderId="37" xfId="0" applyNumberFormat="1" applyFont="1" applyBorder="1" applyAlignmen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11" fillId="0" borderId="0" xfId="0" applyFont="1">
      <alignment vertical="center"/>
    </xf>
    <xf numFmtId="0" fontId="25" fillId="0" borderId="0" xfId="0" applyFont="1" applyAlignment="1">
      <alignment horizontal="right" vertical="center"/>
    </xf>
    <xf numFmtId="0" fontId="26" fillId="0" borderId="0" xfId="0" applyFont="1">
      <alignment vertical="center"/>
    </xf>
    <xf numFmtId="0" fontId="27" fillId="0" borderId="0" xfId="0" applyFont="1" applyAlignment="1">
      <alignment horizontal="right" vertical="center"/>
    </xf>
    <xf numFmtId="177" fontId="0" fillId="0" borderId="0" xfId="0" applyNumberFormat="1" applyProtection="1">
      <alignment vertical="center"/>
      <protection locked="0"/>
    </xf>
    <xf numFmtId="195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77" fontId="0" fillId="0" borderId="0" xfId="0" applyNumberFormat="1" applyBorder="1" applyAlignment="1">
      <alignment horizontal="left" vertical="center" wrapText="1"/>
    </xf>
    <xf numFmtId="178" fontId="5" fillId="0" borderId="0" xfId="0" applyNumberFormat="1" applyFont="1">
      <alignment vertical="center"/>
    </xf>
    <xf numFmtId="176" fontId="0" fillId="0" borderId="0" xfId="0" applyNumberFormat="1" applyAlignment="1">
      <alignment horizontal="right" vertical="center"/>
    </xf>
    <xf numFmtId="177" fontId="0" fillId="0" borderId="0" xfId="0" applyNumberFormat="1">
      <alignment vertical="center"/>
    </xf>
    <xf numFmtId="0" fontId="0" fillId="0" borderId="0" xfId="0">
      <alignment vertical="center"/>
    </xf>
    <xf numFmtId="177" fontId="5" fillId="0" borderId="0" xfId="0" applyNumberFormat="1" applyFont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177" fontId="14" fillId="0" borderId="0" xfId="0" applyNumberFormat="1" applyFont="1">
      <alignment vertical="center"/>
    </xf>
    <xf numFmtId="0" fontId="14" fillId="0" borderId="0" xfId="0" applyFont="1">
      <alignment vertical="center"/>
    </xf>
    <xf numFmtId="10" fontId="22" fillId="0" borderId="0" xfId="0" applyNumberFormat="1" applyFont="1" applyAlignment="1">
      <alignment horizontal="right" vertical="center"/>
    </xf>
    <xf numFmtId="10" fontId="0" fillId="0" borderId="0" xfId="0" applyNumberFormat="1" applyAlignment="1">
      <alignment horizontal="center" vertical="center"/>
    </xf>
    <xf numFmtId="190" fontId="0" fillId="0" borderId="0" xfId="0" applyNumberFormat="1">
      <alignment vertical="center"/>
    </xf>
    <xf numFmtId="190" fontId="0" fillId="0" borderId="0" xfId="0" applyNumberFormat="1" applyAlignment="1">
      <alignment horizontal="right" vertical="center"/>
    </xf>
    <xf numFmtId="188" fontId="0" fillId="0" borderId="0" xfId="0" applyNumberFormat="1" applyAlignment="1">
      <alignment horizontal="right" vertical="center"/>
    </xf>
    <xf numFmtId="0" fontId="0" fillId="0" borderId="0" xfId="0" applyProtection="1">
      <alignment vertical="center"/>
      <protection locked="0"/>
    </xf>
    <xf numFmtId="0" fontId="11" fillId="0" borderId="0" xfId="0" applyFont="1">
      <alignment vertical="center"/>
    </xf>
    <xf numFmtId="189" fontId="0" fillId="0" borderId="0" xfId="0" applyNumberFormat="1">
      <alignment vertical="center"/>
    </xf>
    <xf numFmtId="0" fontId="11" fillId="0" borderId="0" xfId="0" applyFont="1" applyAlignment="1">
      <alignment horizontal="center" vertical="center"/>
    </xf>
    <xf numFmtId="189" fontId="0" fillId="0" borderId="0" xfId="0" applyNumberFormat="1" applyAlignment="1">
      <alignment horizontal="center" vertical="center"/>
    </xf>
    <xf numFmtId="191" fontId="5" fillId="0" borderId="0" xfId="0" applyNumberFormat="1" applyFont="1" applyAlignment="1">
      <alignment horizontal="center" vertical="center"/>
    </xf>
    <xf numFmtId="192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right" vertical="center"/>
    </xf>
  </cellXfs>
  <cellStyles count="7">
    <cellStyle name="계산" xfId="5" builtinId="22"/>
    <cellStyle name="나쁨" xfId="2" builtinId="27"/>
    <cellStyle name="메모" xfId="6" builtinId="10"/>
    <cellStyle name="보통" xfId="3" builtinId="28"/>
    <cellStyle name="좋음" xfId="1" builtinId="26"/>
    <cellStyle name="출력" xfId="4" builtinId="21"/>
    <cellStyle name="표준" xfId="0" builtinId="0"/>
  </cellStyles>
  <dxfs count="0"/>
  <tableStyles count="0" defaultTableStyle="TableStyleMedium2" defaultPivotStyle="PivotStyleLight16"/>
  <colors>
    <mruColors>
      <color rgb="FFBDEEFF"/>
      <color rgb="FF7D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CC17D-C6D2-45FA-B4E0-846AD09FCAE0}">
  <dimension ref="A1:U23"/>
  <sheetViews>
    <sheetView tabSelected="1" workbookViewId="0">
      <selection activeCell="N21" sqref="N21"/>
    </sheetView>
  </sheetViews>
  <sheetFormatPr defaultRowHeight="17.399999999999999"/>
  <sheetData>
    <row r="1" spans="1:21" ht="17.399999999999999" customHeight="1">
      <c r="A1" s="198" t="s">
        <v>473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</row>
    <row r="2" spans="1:21" s="71" customFormat="1" ht="17.399999999999999" customHeight="1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</row>
    <row r="3" spans="1:21" s="71" customFormat="1" ht="17.399999999999999" customHeight="1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1" ht="17.399999999999999" customHeight="1">
      <c r="A4" s="198"/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</row>
    <row r="5" spans="1:21" ht="17.399999999999999" customHeight="1">
      <c r="A5" s="199" t="s">
        <v>474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7" t="s">
        <v>569</v>
      </c>
      <c r="O5" s="197"/>
      <c r="P5" s="197"/>
      <c r="Q5" s="197"/>
      <c r="R5" s="197"/>
      <c r="S5" s="197"/>
      <c r="T5" s="197"/>
      <c r="U5" s="197"/>
    </row>
    <row r="6" spans="1:21" ht="17.399999999999999" customHeight="1">
      <c r="A6" s="199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78" t="s">
        <v>599</v>
      </c>
      <c r="O6" s="197" t="s">
        <v>600</v>
      </c>
      <c r="P6" s="197"/>
      <c r="Q6" s="197"/>
      <c r="R6" s="197"/>
      <c r="S6" s="197"/>
      <c r="T6" s="197"/>
      <c r="U6" s="197"/>
    </row>
    <row r="7" spans="1:21">
      <c r="A7" s="195" t="s">
        <v>567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78" t="s">
        <v>570</v>
      </c>
      <c r="O7" s="197" t="s">
        <v>571</v>
      </c>
      <c r="P7" s="197"/>
      <c r="Q7" s="197"/>
      <c r="R7" s="197"/>
      <c r="S7" s="197"/>
      <c r="T7" s="197"/>
      <c r="U7" s="197"/>
    </row>
    <row r="8" spans="1:21">
      <c r="A8" s="195"/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6" t="s">
        <v>578</v>
      </c>
      <c r="O8" s="195" t="s">
        <v>586</v>
      </c>
      <c r="P8" s="195"/>
      <c r="Q8" s="195"/>
      <c r="R8" s="195"/>
      <c r="S8" s="195"/>
      <c r="T8" s="195"/>
      <c r="U8" s="195"/>
    </row>
    <row r="9" spans="1:21">
      <c r="A9" s="195" t="s">
        <v>475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6"/>
      <c r="O9" s="195"/>
      <c r="P9" s="195"/>
      <c r="Q9" s="195"/>
      <c r="R9" s="195"/>
      <c r="S9" s="195"/>
      <c r="T9" s="195"/>
      <c r="U9" s="195"/>
    </row>
    <row r="10" spans="1:21">
      <c r="A10" s="195"/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78" t="s">
        <v>587</v>
      </c>
      <c r="O10" s="197" t="s">
        <v>588</v>
      </c>
      <c r="P10" s="197"/>
      <c r="Q10" s="197"/>
      <c r="R10" s="197"/>
      <c r="S10" s="197"/>
      <c r="T10" s="197"/>
      <c r="U10" s="197"/>
    </row>
    <row r="11" spans="1:21">
      <c r="A11" s="195" t="s">
        <v>573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78" t="s">
        <v>594</v>
      </c>
      <c r="O11" s="197" t="s">
        <v>595</v>
      </c>
      <c r="P11" s="197"/>
      <c r="Q11" s="197"/>
      <c r="R11" s="197"/>
      <c r="S11" s="197"/>
      <c r="T11" s="197"/>
      <c r="U11" s="197"/>
    </row>
    <row r="12" spans="1:21">
      <c r="A12" s="195"/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6" t="s">
        <v>597</v>
      </c>
      <c r="O12" s="195" t="s">
        <v>601</v>
      </c>
      <c r="P12" s="195"/>
      <c r="Q12" s="195"/>
      <c r="R12" s="195"/>
      <c r="S12" s="195"/>
      <c r="T12" s="195"/>
      <c r="U12" s="195"/>
    </row>
    <row r="13" spans="1:21" ht="17.399999999999999" customHeight="1">
      <c r="A13" s="195" t="s">
        <v>568</v>
      </c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6"/>
      <c r="O13" s="195"/>
      <c r="P13" s="195"/>
      <c r="Q13" s="195"/>
      <c r="R13" s="195"/>
      <c r="S13" s="195"/>
      <c r="T13" s="195"/>
      <c r="U13" s="195"/>
    </row>
    <row r="14" spans="1:21">
      <c r="A14" s="199" t="s">
        <v>572</v>
      </c>
      <c r="B14" s="199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6" t="s">
        <v>622</v>
      </c>
      <c r="O14" s="195" t="s">
        <v>623</v>
      </c>
      <c r="P14" s="195"/>
      <c r="Q14" s="195"/>
      <c r="R14" s="195"/>
      <c r="S14" s="195"/>
      <c r="T14" s="195"/>
      <c r="U14" s="195"/>
    </row>
    <row r="15" spans="1:21">
      <c r="A15" s="195"/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6"/>
      <c r="O15" s="195"/>
      <c r="P15" s="195"/>
      <c r="Q15" s="195"/>
      <c r="R15" s="195"/>
      <c r="S15" s="195"/>
      <c r="T15" s="195"/>
      <c r="U15" s="195"/>
    </row>
    <row r="16" spans="1:21">
      <c r="A16" s="195"/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87" t="s">
        <v>628</v>
      </c>
      <c r="O16" s="197" t="s">
        <v>629</v>
      </c>
      <c r="P16" s="197"/>
      <c r="Q16" s="197"/>
      <c r="R16" s="197"/>
      <c r="S16" s="197"/>
      <c r="T16" s="197"/>
      <c r="U16" s="197"/>
    </row>
    <row r="17" spans="1:21">
      <c r="A17" s="195"/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0" t="s">
        <v>631</v>
      </c>
      <c r="O17" s="197" t="s">
        <v>660</v>
      </c>
      <c r="P17" s="197"/>
      <c r="Q17" s="197"/>
      <c r="R17" s="197"/>
      <c r="S17" s="197"/>
      <c r="T17" s="197"/>
      <c r="U17" s="197"/>
    </row>
    <row r="18" spans="1:21">
      <c r="A18" s="195"/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3" t="s">
        <v>658</v>
      </c>
      <c r="O18" s="197" t="s">
        <v>656</v>
      </c>
      <c r="P18" s="197"/>
      <c r="Q18" s="197"/>
      <c r="R18" s="197"/>
      <c r="S18" s="197"/>
      <c r="T18" s="197"/>
      <c r="U18" s="197"/>
    </row>
    <row r="19" spans="1:21" ht="17.399999999999999" customHeight="1">
      <c r="A19" s="195"/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6" t="s">
        <v>662</v>
      </c>
      <c r="O19" s="195" t="s">
        <v>659</v>
      </c>
      <c r="P19" s="195"/>
      <c r="Q19" s="195"/>
      <c r="R19" s="195"/>
      <c r="S19" s="195"/>
      <c r="T19" s="195"/>
      <c r="U19" s="195"/>
    </row>
    <row r="20" spans="1:21">
      <c r="A20" s="195" t="s">
        <v>598</v>
      </c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6"/>
      <c r="O20" s="195"/>
      <c r="P20" s="195"/>
      <c r="Q20" s="195"/>
      <c r="R20" s="195"/>
      <c r="S20" s="195"/>
      <c r="T20" s="195"/>
      <c r="U20" s="195"/>
    </row>
    <row r="21" spans="1:21">
      <c r="A21" s="195"/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55"/>
      <c r="O21" s="197"/>
      <c r="P21" s="197"/>
      <c r="Q21" s="197"/>
      <c r="R21" s="197"/>
      <c r="S21" s="197"/>
      <c r="T21" s="197"/>
      <c r="U21" s="197"/>
    </row>
    <row r="22" spans="1:21">
      <c r="A22" s="195"/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55"/>
      <c r="O22" s="197"/>
      <c r="P22" s="197"/>
      <c r="Q22" s="197"/>
      <c r="R22" s="197"/>
      <c r="S22" s="197"/>
      <c r="T22" s="197"/>
      <c r="U22" s="197"/>
    </row>
    <row r="23" spans="1:21">
      <c r="A23" s="195"/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55"/>
      <c r="O23" s="197"/>
      <c r="P23" s="197"/>
      <c r="Q23" s="197"/>
      <c r="R23" s="197"/>
      <c r="S23" s="197"/>
      <c r="T23" s="197"/>
      <c r="U23" s="197"/>
    </row>
  </sheetData>
  <sheetProtection algorithmName="SHA-512" hashValue="dPtm2Gvf/RUpHc7qmuxFnS1AJnhzQpMCN+W49b+kG28x2R45ZNt6EBis1YRFrXQnSuo3ZnCbjYBQr83LfG2yPQ==" saltValue="8OZPy7dedNG9/uTscONmtg==" spinCount="100000" sheet="1" selectLockedCells="1"/>
  <mergeCells count="35">
    <mergeCell ref="A1:U4"/>
    <mergeCell ref="N5:U5"/>
    <mergeCell ref="N8:N9"/>
    <mergeCell ref="A16:M16"/>
    <mergeCell ref="A5:M6"/>
    <mergeCell ref="A9:M10"/>
    <mergeCell ref="A7:M8"/>
    <mergeCell ref="O12:U13"/>
    <mergeCell ref="O6:U6"/>
    <mergeCell ref="O16:U16"/>
    <mergeCell ref="O10:U10"/>
    <mergeCell ref="A14:M14"/>
    <mergeCell ref="N12:N13"/>
    <mergeCell ref="A15:M15"/>
    <mergeCell ref="O7:U7"/>
    <mergeCell ref="O8:U9"/>
    <mergeCell ref="A11:M12"/>
    <mergeCell ref="O11:U11"/>
    <mergeCell ref="O21:U21"/>
    <mergeCell ref="O22:U22"/>
    <mergeCell ref="A18:M18"/>
    <mergeCell ref="A19:M19"/>
    <mergeCell ref="A21:M21"/>
    <mergeCell ref="A22:M22"/>
    <mergeCell ref="A17:M17"/>
    <mergeCell ref="O17:U17"/>
    <mergeCell ref="N14:N15"/>
    <mergeCell ref="O18:U18"/>
    <mergeCell ref="A20:M20"/>
    <mergeCell ref="O14:U15"/>
    <mergeCell ref="O19:U20"/>
    <mergeCell ref="N19:N20"/>
    <mergeCell ref="O23:U23"/>
    <mergeCell ref="A13:M13"/>
    <mergeCell ref="A23:M23"/>
  </mergeCells>
  <phoneticPr fontId="4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6C9C6-FE25-4ECB-B25B-685A5D8E3D5A}">
  <dimension ref="A1:J86"/>
  <sheetViews>
    <sheetView workbookViewId="0">
      <selection activeCell="B2" sqref="B2"/>
    </sheetView>
  </sheetViews>
  <sheetFormatPr defaultRowHeight="17.399999999999999"/>
  <sheetData>
    <row r="1" spans="1:10">
      <c r="A1" s="98"/>
      <c r="B1" s="98" t="s">
        <v>482</v>
      </c>
      <c r="C1" s="98" t="s">
        <v>483</v>
      </c>
      <c r="D1" s="98" t="s">
        <v>484</v>
      </c>
      <c r="E1" s="98"/>
      <c r="F1" s="98" t="s">
        <v>485</v>
      </c>
      <c r="G1" s="98"/>
      <c r="H1" s="98"/>
      <c r="I1" s="98" t="s">
        <v>486</v>
      </c>
      <c r="J1" s="98"/>
    </row>
    <row r="2" spans="1:10">
      <c r="A2" s="98" t="s">
        <v>36</v>
      </c>
      <c r="B2" s="101">
        <f>Stat!C17</f>
        <v>249</v>
      </c>
      <c r="C2" s="104">
        <f>IF(B2-G3&gt;=5,1.2,VLOOKUP((B2-G3),$F$41:$G$61,2,FALSE))</f>
        <v>1.2</v>
      </c>
      <c r="D2" s="2"/>
      <c r="E2" s="98"/>
      <c r="F2" s="98"/>
      <c r="G2" s="98" t="s">
        <v>36</v>
      </c>
      <c r="H2" s="98" t="s">
        <v>487</v>
      </c>
      <c r="I2" s="98" t="s">
        <v>488</v>
      </c>
      <c r="J2" s="98"/>
    </row>
    <row r="3" spans="1:10">
      <c r="A3" s="98" t="s">
        <v>487</v>
      </c>
      <c r="B3" s="101">
        <f>Symbol!$O$2</f>
        <v>1340</v>
      </c>
      <c r="C3" s="104">
        <f>IF(D3="적용",IF(B3=0,0.1,IF(B3&lt;H3*0.3,0.3,IF(B3&lt;H3*0.5,0.6,IF(B3&lt;H3*0.7,0.7,IF(B3&lt;H3*1,0.8,IF(B3&lt;H3*1.1,1,IF(B3&lt;H3*1.2,1.1,IF(B3&lt;H3*1.3,1.2,IF(B3&lt;H3*1.5,1.3,IF(B3&gt;=H3*1.5,1.5,"ERROR")))))))))),100%)</f>
        <v>1</v>
      </c>
      <c r="D3" s="102" t="s">
        <v>491</v>
      </c>
      <c r="E3" s="98"/>
      <c r="F3" s="98" t="s">
        <v>489</v>
      </c>
      <c r="G3" s="101">
        <v>230</v>
      </c>
      <c r="H3" s="101">
        <v>760</v>
      </c>
      <c r="I3" s="98" t="s">
        <v>493</v>
      </c>
      <c r="J3" s="98"/>
    </row>
    <row r="4" spans="1:10">
      <c r="A4" s="98"/>
      <c r="B4" s="98"/>
      <c r="C4" s="98"/>
      <c r="D4" s="98"/>
      <c r="E4" s="98"/>
      <c r="I4" s="98" t="s">
        <v>492</v>
      </c>
      <c r="J4" s="98"/>
    </row>
    <row r="5" spans="1:10">
      <c r="A5" s="197" t="s">
        <v>490</v>
      </c>
      <c r="B5" s="210">
        <f>IF(D3="적용",C3*C2,IF(D3="미적용",C2,"D3 셀 값 선택하셈"))</f>
        <v>1.2</v>
      </c>
      <c r="C5" s="210"/>
      <c r="D5" s="103"/>
      <c r="E5" s="98"/>
      <c r="F5" s="98" t="s">
        <v>541</v>
      </c>
      <c r="G5" s="98" t="s">
        <v>539</v>
      </c>
      <c r="H5" s="98" t="s">
        <v>35</v>
      </c>
      <c r="I5" s="125" t="s">
        <v>540</v>
      </c>
      <c r="J5" s="98"/>
    </row>
    <row r="6" spans="1:10">
      <c r="A6" s="197"/>
      <c r="B6" s="210"/>
      <c r="C6" s="210"/>
      <c r="D6" s="98"/>
      <c r="E6" s="98"/>
      <c r="F6">
        <v>40</v>
      </c>
      <c r="G6" s="211">
        <v>1.2</v>
      </c>
      <c r="H6" s="1">
        <v>0.7</v>
      </c>
      <c r="I6" s="98"/>
      <c r="J6" s="98"/>
    </row>
    <row r="7" spans="1:10">
      <c r="A7" s="98"/>
      <c r="B7" s="98"/>
      <c r="C7" s="98"/>
      <c r="D7" s="98"/>
      <c r="E7" s="98"/>
      <c r="F7">
        <f>F6-1</f>
        <v>39</v>
      </c>
      <c r="G7" s="211"/>
      <c r="H7" s="1">
        <f>H6+1%</f>
        <v>0.71</v>
      </c>
      <c r="I7" s="98"/>
      <c r="J7" s="98"/>
    </row>
    <row r="8" spans="1:10">
      <c r="A8" s="98"/>
      <c r="B8" s="98"/>
      <c r="C8" s="98"/>
      <c r="D8" s="98"/>
      <c r="E8" s="98"/>
      <c r="F8" s="106">
        <f t="shared" ref="F8:F71" si="0">F7-1</f>
        <v>38</v>
      </c>
      <c r="G8" s="211"/>
      <c r="H8" s="1">
        <f t="shared" ref="H8:H36" si="1">H7+1%</f>
        <v>0.72</v>
      </c>
      <c r="I8" s="98"/>
      <c r="J8" s="98"/>
    </row>
    <row r="9" spans="1:10">
      <c r="A9" s="98"/>
      <c r="B9" s="98"/>
      <c r="C9" s="98"/>
      <c r="D9" s="98"/>
      <c r="E9" s="98"/>
      <c r="F9" s="106">
        <f t="shared" si="0"/>
        <v>37</v>
      </c>
      <c r="G9" s="211"/>
      <c r="H9" s="1">
        <f t="shared" si="1"/>
        <v>0.73</v>
      </c>
      <c r="I9" s="98"/>
      <c r="J9" s="98"/>
    </row>
    <row r="10" spans="1:10">
      <c r="A10" s="98"/>
      <c r="B10" s="98"/>
      <c r="C10" s="98"/>
      <c r="D10" s="98"/>
      <c r="E10" s="98"/>
      <c r="F10" s="106">
        <f t="shared" si="0"/>
        <v>36</v>
      </c>
      <c r="G10" s="211"/>
      <c r="H10" s="1">
        <f t="shared" si="1"/>
        <v>0.74</v>
      </c>
      <c r="I10" s="98"/>
      <c r="J10" s="98"/>
    </row>
    <row r="11" spans="1:10">
      <c r="A11" s="98"/>
      <c r="B11" s="98"/>
      <c r="C11" s="98"/>
      <c r="D11" s="98"/>
      <c r="E11" s="98"/>
      <c r="F11" s="106">
        <f t="shared" si="0"/>
        <v>35</v>
      </c>
      <c r="G11" s="211"/>
      <c r="H11" s="1">
        <f t="shared" si="1"/>
        <v>0.75</v>
      </c>
      <c r="I11" s="98"/>
      <c r="J11" s="98"/>
    </row>
    <row r="12" spans="1:10">
      <c r="A12" s="98"/>
      <c r="B12" s="98"/>
      <c r="C12" s="98"/>
      <c r="D12" s="98"/>
      <c r="E12" s="98"/>
      <c r="F12" s="106">
        <f t="shared" si="0"/>
        <v>34</v>
      </c>
      <c r="G12" s="211"/>
      <c r="H12" s="1">
        <f t="shared" si="1"/>
        <v>0.76</v>
      </c>
      <c r="I12" s="98"/>
      <c r="J12" s="98"/>
    </row>
    <row r="13" spans="1:10">
      <c r="A13" s="98"/>
      <c r="B13" s="98"/>
      <c r="C13" s="98"/>
      <c r="D13" s="98"/>
      <c r="E13" s="98"/>
      <c r="F13" s="106">
        <f t="shared" si="0"/>
        <v>33</v>
      </c>
      <c r="G13" s="211"/>
      <c r="H13" s="1">
        <f t="shared" si="1"/>
        <v>0.77</v>
      </c>
      <c r="I13" s="98"/>
      <c r="J13" s="98"/>
    </row>
    <row r="14" spans="1:10">
      <c r="A14" s="98"/>
      <c r="B14" s="98"/>
      <c r="C14" s="98"/>
      <c r="D14" s="98"/>
      <c r="E14" s="98"/>
      <c r="F14" s="106">
        <f t="shared" si="0"/>
        <v>32</v>
      </c>
      <c r="G14" s="211"/>
      <c r="H14" s="1">
        <f t="shared" si="1"/>
        <v>0.78</v>
      </c>
      <c r="I14" s="98"/>
      <c r="J14" s="98"/>
    </row>
    <row r="15" spans="1:10">
      <c r="A15" s="98"/>
      <c r="B15" s="98"/>
      <c r="C15" s="98"/>
      <c r="D15" s="98"/>
      <c r="E15" s="98"/>
      <c r="F15" s="106">
        <f t="shared" si="0"/>
        <v>31</v>
      </c>
      <c r="G15" s="211"/>
      <c r="H15" s="1">
        <f t="shared" si="1"/>
        <v>0.79</v>
      </c>
      <c r="I15" s="98"/>
      <c r="J15" s="98"/>
    </row>
    <row r="16" spans="1:10">
      <c r="A16" s="98"/>
      <c r="B16" s="98"/>
      <c r="C16" s="98"/>
      <c r="D16" s="98"/>
      <c r="E16" s="98"/>
      <c r="F16" s="106">
        <f t="shared" si="0"/>
        <v>30</v>
      </c>
      <c r="G16" s="211"/>
      <c r="H16" s="1">
        <f t="shared" si="1"/>
        <v>0.8</v>
      </c>
      <c r="I16" s="98"/>
      <c r="J16" s="98"/>
    </row>
    <row r="17" spans="1:10">
      <c r="A17" s="98"/>
      <c r="B17" s="98"/>
      <c r="C17" s="98"/>
      <c r="D17" s="98"/>
      <c r="E17" s="98"/>
      <c r="F17" s="106">
        <f t="shared" si="0"/>
        <v>29</v>
      </c>
      <c r="G17" s="211"/>
      <c r="H17" s="1">
        <f t="shared" si="1"/>
        <v>0.81</v>
      </c>
      <c r="I17" s="98"/>
      <c r="J17" s="98"/>
    </row>
    <row r="18" spans="1:10">
      <c r="A18" s="98"/>
      <c r="B18" s="98"/>
      <c r="C18" s="98"/>
      <c r="D18" s="98"/>
      <c r="E18" s="98"/>
      <c r="F18" s="106">
        <f t="shared" si="0"/>
        <v>28</v>
      </c>
      <c r="G18" s="211"/>
      <c r="H18" s="1">
        <f t="shared" si="1"/>
        <v>0.82000000000000006</v>
      </c>
      <c r="I18" s="98"/>
      <c r="J18" s="98"/>
    </row>
    <row r="19" spans="1:10">
      <c r="A19" s="98"/>
      <c r="B19" s="98"/>
      <c r="C19" s="98"/>
      <c r="D19" s="98"/>
      <c r="E19" s="98"/>
      <c r="F19" s="106">
        <f t="shared" si="0"/>
        <v>27</v>
      </c>
      <c r="G19" s="211"/>
      <c r="H19" s="1">
        <f t="shared" si="1"/>
        <v>0.83000000000000007</v>
      </c>
      <c r="I19" s="98"/>
      <c r="J19" s="98"/>
    </row>
    <row r="20" spans="1:10">
      <c r="A20" s="98"/>
      <c r="B20" s="98"/>
      <c r="C20" s="98"/>
      <c r="D20" s="98"/>
      <c r="E20" s="98"/>
      <c r="F20" s="106">
        <f t="shared" si="0"/>
        <v>26</v>
      </c>
      <c r="G20" s="211"/>
      <c r="H20" s="1">
        <f t="shared" si="1"/>
        <v>0.84000000000000008</v>
      </c>
      <c r="I20" s="98"/>
      <c r="J20" s="98"/>
    </row>
    <row r="21" spans="1:10">
      <c r="A21" s="98"/>
      <c r="B21" s="98"/>
      <c r="C21" s="98"/>
      <c r="D21" s="98"/>
      <c r="E21" s="98"/>
      <c r="F21" s="106">
        <f t="shared" si="0"/>
        <v>25</v>
      </c>
      <c r="G21" s="211"/>
      <c r="H21" s="1">
        <f t="shared" si="1"/>
        <v>0.85000000000000009</v>
      </c>
      <c r="I21" s="98"/>
      <c r="J21" s="98"/>
    </row>
    <row r="22" spans="1:10">
      <c r="A22" s="98"/>
      <c r="B22" s="98"/>
      <c r="C22" s="98"/>
      <c r="D22" s="98"/>
      <c r="E22" s="98"/>
      <c r="F22" s="106">
        <f t="shared" si="0"/>
        <v>24</v>
      </c>
      <c r="G22" s="211"/>
      <c r="H22" s="1">
        <f t="shared" si="1"/>
        <v>0.8600000000000001</v>
      </c>
      <c r="I22" s="98"/>
      <c r="J22" s="98"/>
    </row>
    <row r="23" spans="1:10">
      <c r="A23" s="98"/>
      <c r="B23" s="98"/>
      <c r="C23" s="98"/>
      <c r="D23" s="98"/>
      <c r="E23" s="98"/>
      <c r="F23" s="106">
        <f t="shared" si="0"/>
        <v>23</v>
      </c>
      <c r="G23" s="211"/>
      <c r="H23" s="1">
        <f t="shared" si="1"/>
        <v>0.87000000000000011</v>
      </c>
      <c r="I23" s="98"/>
      <c r="J23" s="98"/>
    </row>
    <row r="24" spans="1:10">
      <c r="A24" s="98"/>
      <c r="B24" s="98"/>
      <c r="C24" s="98"/>
      <c r="D24" s="98"/>
      <c r="E24" s="98"/>
      <c r="F24" s="106">
        <f t="shared" si="0"/>
        <v>22</v>
      </c>
      <c r="G24" s="211"/>
      <c r="H24" s="1">
        <f t="shared" si="1"/>
        <v>0.88000000000000012</v>
      </c>
      <c r="I24" s="98"/>
      <c r="J24" s="98"/>
    </row>
    <row r="25" spans="1:10">
      <c r="A25" s="98"/>
      <c r="B25" s="98"/>
      <c r="C25" s="98"/>
      <c r="D25" s="98"/>
      <c r="E25" s="98"/>
      <c r="F25" s="106">
        <f t="shared" si="0"/>
        <v>21</v>
      </c>
      <c r="G25" s="211"/>
      <c r="H25" s="1">
        <f t="shared" si="1"/>
        <v>0.89000000000000012</v>
      </c>
      <c r="I25" s="98"/>
      <c r="J25" s="98"/>
    </row>
    <row r="26" spans="1:10">
      <c r="F26" s="106">
        <f t="shared" si="0"/>
        <v>20</v>
      </c>
      <c r="G26" s="211"/>
      <c r="H26" s="1">
        <f t="shared" si="1"/>
        <v>0.90000000000000013</v>
      </c>
    </row>
    <row r="27" spans="1:10">
      <c r="F27" s="106">
        <f t="shared" si="0"/>
        <v>19</v>
      </c>
      <c r="G27" s="211"/>
      <c r="H27" s="1">
        <f t="shared" si="1"/>
        <v>0.91000000000000014</v>
      </c>
    </row>
    <row r="28" spans="1:10">
      <c r="F28" s="106">
        <f t="shared" si="0"/>
        <v>18</v>
      </c>
      <c r="G28" s="211"/>
      <c r="H28" s="1">
        <f t="shared" si="1"/>
        <v>0.92000000000000015</v>
      </c>
    </row>
    <row r="29" spans="1:10">
      <c r="F29" s="106">
        <f t="shared" si="0"/>
        <v>17</v>
      </c>
      <c r="G29" s="211"/>
      <c r="H29" s="1">
        <f t="shared" si="1"/>
        <v>0.93000000000000016</v>
      </c>
    </row>
    <row r="30" spans="1:10">
      <c r="F30" s="106">
        <f t="shared" si="0"/>
        <v>16</v>
      </c>
      <c r="G30" s="211"/>
      <c r="H30" s="1">
        <f t="shared" si="1"/>
        <v>0.94000000000000017</v>
      </c>
    </row>
    <row r="31" spans="1:10">
      <c r="F31" s="106">
        <f t="shared" si="0"/>
        <v>15</v>
      </c>
      <c r="G31" s="211"/>
      <c r="H31" s="1">
        <f t="shared" si="1"/>
        <v>0.95000000000000018</v>
      </c>
    </row>
    <row r="32" spans="1:10">
      <c r="F32" s="106">
        <f t="shared" si="0"/>
        <v>14</v>
      </c>
      <c r="G32" s="211"/>
      <c r="H32" s="1">
        <f t="shared" si="1"/>
        <v>0.96000000000000019</v>
      </c>
    </row>
    <row r="33" spans="6:8">
      <c r="F33" s="106">
        <f t="shared" si="0"/>
        <v>13</v>
      </c>
      <c r="G33" s="211"/>
      <c r="H33" s="1">
        <f t="shared" si="1"/>
        <v>0.9700000000000002</v>
      </c>
    </row>
    <row r="34" spans="6:8">
      <c r="F34" s="106">
        <f t="shared" si="0"/>
        <v>12</v>
      </c>
      <c r="G34" s="211"/>
      <c r="H34" s="1">
        <f t="shared" si="1"/>
        <v>0.9800000000000002</v>
      </c>
    </row>
    <row r="35" spans="6:8">
      <c r="F35" s="106">
        <f>F34-1</f>
        <v>11</v>
      </c>
      <c r="G35" s="211"/>
      <c r="H35" s="1">
        <f t="shared" si="1"/>
        <v>0.99000000000000021</v>
      </c>
    </row>
    <row r="36" spans="6:8">
      <c r="F36" s="106">
        <f t="shared" si="0"/>
        <v>10</v>
      </c>
      <c r="G36" s="211"/>
      <c r="H36" s="1">
        <f t="shared" si="1"/>
        <v>1.0000000000000002</v>
      </c>
    </row>
    <row r="37" spans="6:8">
      <c r="F37" s="106">
        <f t="shared" si="0"/>
        <v>9</v>
      </c>
      <c r="G37" s="211"/>
      <c r="H37" s="1">
        <v>1.05</v>
      </c>
    </row>
    <row r="38" spans="6:8">
      <c r="F38" s="106">
        <f t="shared" si="0"/>
        <v>8</v>
      </c>
      <c r="G38" s="211"/>
      <c r="H38" s="1">
        <v>1.05</v>
      </c>
    </row>
    <row r="39" spans="6:8">
      <c r="F39" s="106">
        <f t="shared" si="0"/>
        <v>7</v>
      </c>
      <c r="G39" s="211"/>
      <c r="H39" s="1">
        <v>1.05</v>
      </c>
    </row>
    <row r="40" spans="6:8">
      <c r="F40" s="106">
        <f t="shared" si="0"/>
        <v>6</v>
      </c>
      <c r="G40" s="211"/>
      <c r="H40" s="1">
        <v>1.05</v>
      </c>
    </row>
    <row r="41" spans="6:8">
      <c r="F41" s="106">
        <f t="shared" si="0"/>
        <v>5</v>
      </c>
      <c r="G41" s="211"/>
      <c r="H41" s="1">
        <v>1.05</v>
      </c>
    </row>
    <row r="42" spans="6:8">
      <c r="F42" s="106">
        <f t="shared" si="0"/>
        <v>4</v>
      </c>
      <c r="G42" s="2">
        <f>G6-2%</f>
        <v>1.18</v>
      </c>
      <c r="H42" s="1">
        <v>1.1000000000000001</v>
      </c>
    </row>
    <row r="43" spans="6:8">
      <c r="F43" s="106">
        <f t="shared" si="0"/>
        <v>3</v>
      </c>
      <c r="G43" s="2">
        <f t="shared" ref="G43:G46" si="2">G42-2%</f>
        <v>1.1599999999999999</v>
      </c>
      <c r="H43" s="1">
        <v>1.1000000000000001</v>
      </c>
    </row>
    <row r="44" spans="6:8">
      <c r="F44" s="106">
        <f t="shared" si="0"/>
        <v>2</v>
      </c>
      <c r="G44" s="2">
        <f t="shared" si="2"/>
        <v>1.1399999999999999</v>
      </c>
      <c r="H44" s="1">
        <v>1.1000000000000001</v>
      </c>
    </row>
    <row r="45" spans="6:8">
      <c r="F45" s="106">
        <f t="shared" si="0"/>
        <v>1</v>
      </c>
      <c r="G45" s="2">
        <f t="shared" si="2"/>
        <v>1.1199999999999999</v>
      </c>
      <c r="H45" s="1">
        <v>1.1000000000000001</v>
      </c>
    </row>
    <row r="46" spans="6:8">
      <c r="F46" s="106">
        <f t="shared" si="0"/>
        <v>0</v>
      </c>
      <c r="G46" s="2">
        <f t="shared" si="2"/>
        <v>1.0999999999999999</v>
      </c>
      <c r="H46" s="1">
        <v>1.1000000000000001</v>
      </c>
    </row>
    <row r="47" spans="6:8">
      <c r="F47" s="106">
        <f t="shared" si="0"/>
        <v>-1</v>
      </c>
      <c r="G47" s="2">
        <v>1.0584</v>
      </c>
      <c r="H47" s="1">
        <v>1.1000000000000001</v>
      </c>
    </row>
    <row r="48" spans="6:8">
      <c r="F48" s="106">
        <f t="shared" si="0"/>
        <v>-2</v>
      </c>
      <c r="G48" s="2">
        <v>1.0069999999999999</v>
      </c>
      <c r="H48" s="1">
        <v>1.1000000000000001</v>
      </c>
    </row>
    <row r="49" spans="6:8">
      <c r="F49" s="106">
        <f t="shared" si="0"/>
        <v>-3</v>
      </c>
      <c r="G49" s="2">
        <v>0.96719999999999995</v>
      </c>
      <c r="H49" s="1">
        <v>1.1000000000000001</v>
      </c>
    </row>
    <row r="50" spans="6:8">
      <c r="F50" s="106">
        <f t="shared" si="0"/>
        <v>-4</v>
      </c>
      <c r="G50" s="2">
        <v>0.91800000000000004</v>
      </c>
      <c r="H50" s="1">
        <v>1.1000000000000001</v>
      </c>
    </row>
    <row r="51" spans="6:8">
      <c r="F51" s="106">
        <f t="shared" si="0"/>
        <v>-5</v>
      </c>
      <c r="G51" s="2">
        <v>0.88</v>
      </c>
      <c r="H51" s="1">
        <v>1.05</v>
      </c>
    </row>
    <row r="52" spans="6:8">
      <c r="F52" s="106">
        <f t="shared" si="0"/>
        <v>-6</v>
      </c>
      <c r="G52" s="2">
        <f>G51-3%</f>
        <v>0.85</v>
      </c>
      <c r="H52" s="1">
        <v>1.05</v>
      </c>
    </row>
    <row r="53" spans="6:8">
      <c r="F53" s="106">
        <f t="shared" si="0"/>
        <v>-7</v>
      </c>
      <c r="G53" s="2">
        <v>0.83</v>
      </c>
      <c r="H53" s="1">
        <v>1.05</v>
      </c>
    </row>
    <row r="54" spans="6:8">
      <c r="F54" s="106">
        <f t="shared" si="0"/>
        <v>-8</v>
      </c>
      <c r="G54" s="2">
        <v>0.8</v>
      </c>
      <c r="H54" s="1">
        <v>1.05</v>
      </c>
    </row>
    <row r="55" spans="6:8">
      <c r="F55" s="106">
        <f t="shared" si="0"/>
        <v>-9</v>
      </c>
      <c r="G55" s="2">
        <v>0.78</v>
      </c>
      <c r="H55" s="1">
        <v>1.05</v>
      </c>
    </row>
    <row r="56" spans="6:8">
      <c r="F56" s="106">
        <f t="shared" si="0"/>
        <v>-10</v>
      </c>
      <c r="G56" s="2">
        <v>0.75</v>
      </c>
      <c r="H56" s="1">
        <v>1</v>
      </c>
    </row>
    <row r="57" spans="6:8">
      <c r="F57" s="106">
        <f t="shared" si="0"/>
        <v>-11</v>
      </c>
      <c r="G57" s="2">
        <v>0.73</v>
      </c>
      <c r="H57" s="1">
        <v>0.99</v>
      </c>
    </row>
    <row r="58" spans="6:8">
      <c r="F58" s="106">
        <f t="shared" si="0"/>
        <v>-12</v>
      </c>
      <c r="G58" s="2">
        <v>0.7</v>
      </c>
      <c r="H58" s="1">
        <f>H57-1%</f>
        <v>0.98</v>
      </c>
    </row>
    <row r="59" spans="6:8">
      <c r="F59" s="106">
        <f t="shared" si="0"/>
        <v>-13</v>
      </c>
      <c r="G59" s="2">
        <v>0.68</v>
      </c>
      <c r="H59" s="1">
        <f t="shared" ref="H59:H66" si="3">H58-1%</f>
        <v>0.97</v>
      </c>
    </row>
    <row r="60" spans="6:8">
      <c r="F60" s="106">
        <f t="shared" si="0"/>
        <v>-14</v>
      </c>
      <c r="G60" s="2">
        <v>0.65</v>
      </c>
      <c r="H60" s="1">
        <f t="shared" si="3"/>
        <v>0.96</v>
      </c>
    </row>
    <row r="61" spans="6:8">
      <c r="F61" s="106">
        <f t="shared" si="0"/>
        <v>-15</v>
      </c>
      <c r="G61" s="2">
        <v>0.63</v>
      </c>
      <c r="H61" s="1">
        <f t="shared" si="3"/>
        <v>0.95</v>
      </c>
    </row>
    <row r="62" spans="6:8">
      <c r="F62" s="106">
        <f t="shared" si="0"/>
        <v>-16</v>
      </c>
      <c r="G62" s="2">
        <f>G61-3%</f>
        <v>0.6</v>
      </c>
      <c r="H62" s="1">
        <f t="shared" si="3"/>
        <v>0.94</v>
      </c>
    </row>
    <row r="63" spans="6:8">
      <c r="F63" s="106">
        <f t="shared" si="0"/>
        <v>-17</v>
      </c>
      <c r="G63" s="2">
        <f>G61-5%</f>
        <v>0.57999999999999996</v>
      </c>
      <c r="H63" s="1">
        <f t="shared" si="3"/>
        <v>0.92999999999999994</v>
      </c>
    </row>
    <row r="64" spans="6:8">
      <c r="F64" s="106">
        <f t="shared" si="0"/>
        <v>-18</v>
      </c>
      <c r="G64" s="2">
        <f>G63-3%</f>
        <v>0.54999999999999993</v>
      </c>
      <c r="H64" s="1">
        <f t="shared" si="3"/>
        <v>0.91999999999999993</v>
      </c>
    </row>
    <row r="65" spans="6:8">
      <c r="F65" s="106">
        <f t="shared" si="0"/>
        <v>-19</v>
      </c>
      <c r="G65" s="2">
        <f>G63-5%</f>
        <v>0.52999999999999992</v>
      </c>
      <c r="H65" s="1">
        <f t="shared" si="3"/>
        <v>0.90999999999999992</v>
      </c>
    </row>
    <row r="66" spans="6:8">
      <c r="F66" s="106">
        <f t="shared" si="0"/>
        <v>-20</v>
      </c>
      <c r="G66" s="2">
        <f>G65-3%</f>
        <v>0.49999999999999989</v>
      </c>
      <c r="H66" s="1">
        <f t="shared" si="3"/>
        <v>0.89999999999999991</v>
      </c>
    </row>
    <row r="67" spans="6:8">
      <c r="F67" s="106">
        <f t="shared" si="0"/>
        <v>-21</v>
      </c>
      <c r="G67" s="2">
        <f>G65-5%</f>
        <v>0.47999999999999993</v>
      </c>
      <c r="H67" s="1">
        <v>0.7</v>
      </c>
    </row>
    <row r="68" spans="6:8">
      <c r="F68" s="106">
        <f t="shared" si="0"/>
        <v>-22</v>
      </c>
      <c r="G68" s="2">
        <f>G67-3%</f>
        <v>0.44999999999999996</v>
      </c>
      <c r="H68" s="1">
        <f>H67-4%</f>
        <v>0.65999999999999992</v>
      </c>
    </row>
    <row r="69" spans="6:8">
      <c r="F69" s="106">
        <f t="shared" si="0"/>
        <v>-23</v>
      </c>
      <c r="G69" s="2">
        <f>G67-5%</f>
        <v>0.42999999999999994</v>
      </c>
      <c r="H69" s="1">
        <f t="shared" ref="H69:H82" si="4">H68-4%</f>
        <v>0.61999999999999988</v>
      </c>
    </row>
    <row r="70" spans="6:8">
      <c r="F70" s="106">
        <f t="shared" si="0"/>
        <v>-24</v>
      </c>
      <c r="G70" s="2">
        <f>G69-3%</f>
        <v>0.39999999999999991</v>
      </c>
      <c r="H70" s="1">
        <f t="shared" si="4"/>
        <v>0.57999999999999985</v>
      </c>
    </row>
    <row r="71" spans="6:8">
      <c r="F71" s="106">
        <f t="shared" si="0"/>
        <v>-25</v>
      </c>
      <c r="G71" s="2">
        <f>G69-5%</f>
        <v>0.37999999999999995</v>
      </c>
      <c r="H71" s="1">
        <f t="shared" si="4"/>
        <v>0.53999999999999981</v>
      </c>
    </row>
    <row r="72" spans="6:8">
      <c r="F72" s="106">
        <f t="shared" ref="F72:F86" si="5">F71-1</f>
        <v>-26</v>
      </c>
      <c r="G72" s="2">
        <f>G71-3%</f>
        <v>0.35</v>
      </c>
      <c r="H72" s="1">
        <f t="shared" si="4"/>
        <v>0.49999999999999983</v>
      </c>
    </row>
    <row r="73" spans="6:8">
      <c r="F73" s="106">
        <f t="shared" si="5"/>
        <v>-27</v>
      </c>
      <c r="G73" s="2">
        <f>G71-5%</f>
        <v>0.32999999999999996</v>
      </c>
      <c r="H73" s="1">
        <f t="shared" si="4"/>
        <v>0.45999999999999985</v>
      </c>
    </row>
    <row r="74" spans="6:8">
      <c r="F74" s="106">
        <f t="shared" si="5"/>
        <v>-28</v>
      </c>
      <c r="G74" s="2">
        <f>G73-3%</f>
        <v>0.29999999999999993</v>
      </c>
      <c r="H74" s="1">
        <f t="shared" si="4"/>
        <v>0.41999999999999987</v>
      </c>
    </row>
    <row r="75" spans="6:8">
      <c r="F75" s="106">
        <f t="shared" si="5"/>
        <v>-29</v>
      </c>
      <c r="G75" s="2">
        <f>G73-5%</f>
        <v>0.27999999999999997</v>
      </c>
      <c r="H75" s="1">
        <f t="shared" si="4"/>
        <v>0.37999999999999989</v>
      </c>
    </row>
    <row r="76" spans="6:8">
      <c r="F76" s="106">
        <f t="shared" si="5"/>
        <v>-30</v>
      </c>
      <c r="G76" s="2">
        <f>G75-3%</f>
        <v>0.24999999999999997</v>
      </c>
      <c r="H76" s="1">
        <f t="shared" si="4"/>
        <v>0.33999999999999991</v>
      </c>
    </row>
    <row r="77" spans="6:8">
      <c r="F77" s="106">
        <f t="shared" si="5"/>
        <v>-31</v>
      </c>
      <c r="G77" s="2">
        <f>G75-5%</f>
        <v>0.22999999999999998</v>
      </c>
      <c r="H77" s="1">
        <f t="shared" si="4"/>
        <v>0.29999999999999993</v>
      </c>
    </row>
    <row r="78" spans="6:8">
      <c r="F78" s="106">
        <f t="shared" si="5"/>
        <v>-32</v>
      </c>
      <c r="G78" s="2">
        <f>G77-3%</f>
        <v>0.19999999999999998</v>
      </c>
      <c r="H78" s="1">
        <f t="shared" si="4"/>
        <v>0.25999999999999995</v>
      </c>
    </row>
    <row r="79" spans="6:8">
      <c r="F79" s="106">
        <f t="shared" si="5"/>
        <v>-33</v>
      </c>
      <c r="G79" s="2">
        <f>G77-5%</f>
        <v>0.18</v>
      </c>
      <c r="H79" s="1">
        <f t="shared" si="4"/>
        <v>0.21999999999999995</v>
      </c>
    </row>
    <row r="80" spans="6:8">
      <c r="F80" s="106">
        <f t="shared" si="5"/>
        <v>-34</v>
      </c>
      <c r="G80" s="2">
        <f>G79-3%</f>
        <v>0.15</v>
      </c>
      <c r="H80" s="1">
        <f>H79-4%</f>
        <v>0.17999999999999994</v>
      </c>
    </row>
    <row r="81" spans="6:8">
      <c r="F81" s="106">
        <f t="shared" si="5"/>
        <v>-35</v>
      </c>
      <c r="G81" s="2">
        <f>G79-5%</f>
        <v>0.13</v>
      </c>
      <c r="H81" s="1">
        <f t="shared" si="4"/>
        <v>0.13999999999999993</v>
      </c>
    </row>
    <row r="82" spans="6:8">
      <c r="F82" s="106">
        <f t="shared" si="5"/>
        <v>-36</v>
      </c>
      <c r="G82" s="2">
        <f>G81-3%</f>
        <v>0.1</v>
      </c>
      <c r="H82" s="1">
        <f t="shared" si="4"/>
        <v>9.9999999999999922E-2</v>
      </c>
    </row>
    <row r="83" spans="6:8">
      <c r="F83" s="106">
        <f t="shared" si="5"/>
        <v>-37</v>
      </c>
      <c r="G83" s="2">
        <f>G81-5%</f>
        <v>0.08</v>
      </c>
      <c r="H83" s="1">
        <v>0.1</v>
      </c>
    </row>
    <row r="84" spans="6:8">
      <c r="F84" s="106">
        <f t="shared" si="5"/>
        <v>-38</v>
      </c>
      <c r="G84" s="2">
        <f>G83-3%</f>
        <v>0.05</v>
      </c>
      <c r="H84" s="1">
        <v>0.1</v>
      </c>
    </row>
    <row r="85" spans="6:8">
      <c r="F85" s="106">
        <f t="shared" si="5"/>
        <v>-39</v>
      </c>
      <c r="G85" s="2">
        <f>G84-3%</f>
        <v>2.0000000000000004E-2</v>
      </c>
      <c r="H85" s="1">
        <v>0.1</v>
      </c>
    </row>
    <row r="86" spans="6:8">
      <c r="F86" s="106">
        <f t="shared" si="5"/>
        <v>-40</v>
      </c>
      <c r="G86" s="2">
        <f>G84-5%</f>
        <v>0</v>
      </c>
      <c r="H86" s="143" t="s">
        <v>142</v>
      </c>
    </row>
  </sheetData>
  <sheetProtection algorithmName="SHA-512" hashValue="i6JQdA2pmpVvzbqhFXMfF/pHEM9SU0P+Ctkoo3S/sQ5Z8eswsJABsH4OllISw3XvzV3khJudXDDTGoOChuK4OQ==" saltValue="uI+PojK4f2KyUKeqrLGRuw==" spinCount="100000" sheet="1" selectLockedCells="1"/>
  <mergeCells count="3">
    <mergeCell ref="A5:A6"/>
    <mergeCell ref="B5:C6"/>
    <mergeCell ref="G6:G41"/>
  </mergeCells>
  <phoneticPr fontId="4" type="noConversion"/>
  <dataValidations count="1">
    <dataValidation type="list" allowBlank="1" showInputMessage="1" showErrorMessage="1" sqref="D3" xr:uid="{EC56A399-8C9C-495F-A3F3-DD3AE3E9D7B1}">
      <formula1>"적용, 미적용"</formula1>
    </dataValidation>
  </dataValidations>
  <pageMargins left="0.7" right="0.7" top="0.75" bottom="0.75" header="0.3" footer="0.3"/>
  <pageSetup paperSize="9" orientation="portrait" r:id="rId1"/>
  <ignoredErrors>
    <ignoredError sqref="B2:B3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7"/>
  <sheetViews>
    <sheetView workbookViewId="0">
      <selection activeCell="D23" sqref="D23"/>
    </sheetView>
  </sheetViews>
  <sheetFormatPr defaultRowHeight="17.399999999999999"/>
  <cols>
    <col min="3" max="4" width="10.3984375" bestFit="1" customWidth="1"/>
    <col min="9" max="10" width="10.3984375" bestFit="1" customWidth="1"/>
  </cols>
  <sheetData>
    <row r="1" spans="1:17" s="71" customFormat="1">
      <c r="A1" s="196" t="s">
        <v>444</v>
      </c>
      <c r="B1" s="196"/>
      <c r="C1" s="196"/>
      <c r="D1" s="196"/>
      <c r="E1" s="196"/>
      <c r="G1" s="196" t="s">
        <v>445</v>
      </c>
      <c r="H1" s="196"/>
      <c r="I1" s="196"/>
      <c r="J1" s="196"/>
      <c r="K1" s="196"/>
    </row>
    <row r="2" spans="1:17">
      <c r="A2" t="s">
        <v>137</v>
      </c>
      <c r="B2" t="s">
        <v>138</v>
      </c>
      <c r="C2" t="s">
        <v>139</v>
      </c>
      <c r="D2" t="s">
        <v>140</v>
      </c>
      <c r="E2" t="s">
        <v>141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  <c r="N2" t="s">
        <v>444</v>
      </c>
      <c r="Q2" t="s">
        <v>445</v>
      </c>
    </row>
    <row r="3" spans="1:17">
      <c r="A3">
        <v>1</v>
      </c>
      <c r="B3">
        <v>50</v>
      </c>
      <c r="C3">
        <f>SUM(B$3:B3)</f>
        <v>50</v>
      </c>
      <c r="D3" s="28" t="s">
        <v>142</v>
      </c>
      <c r="E3">
        <f>ROUNDUP(C3/50, 0)</f>
        <v>1</v>
      </c>
      <c r="G3">
        <v>1</v>
      </c>
      <c r="H3">
        <v>50</v>
      </c>
      <c r="I3">
        <f>SUM(H$3:H3)</f>
        <v>50</v>
      </c>
      <c r="J3" s="28" t="s">
        <v>142</v>
      </c>
      <c r="K3">
        <f>ROUNDUP(I3/50, 0)</f>
        <v>1</v>
      </c>
      <c r="M3" t="s">
        <v>446</v>
      </c>
      <c r="N3">
        <v>21</v>
      </c>
      <c r="P3" s="71" t="s">
        <v>446</v>
      </c>
      <c r="Q3" s="71">
        <v>25</v>
      </c>
    </row>
    <row r="4" spans="1:17">
      <c r="A4">
        <f>A3+1</f>
        <v>2</v>
      </c>
      <c r="B4">
        <f>B3+5</f>
        <v>55</v>
      </c>
      <c r="C4">
        <f>SUM(B$3:B4)</f>
        <v>105</v>
      </c>
      <c r="D4">
        <f>E4-E3</f>
        <v>2</v>
      </c>
      <c r="E4">
        <f t="shared" ref="E4:E27" si="0">ROUNDUP(C4/50, 0)</f>
        <v>3</v>
      </c>
      <c r="G4">
        <f>G3+1</f>
        <v>2</v>
      </c>
      <c r="H4">
        <v>55</v>
      </c>
      <c r="I4">
        <f>SUM(H$3:H4)</f>
        <v>105</v>
      </c>
      <c r="J4">
        <f>K4-K3</f>
        <v>2</v>
      </c>
      <c r="K4">
        <f t="shared" ref="K4:K27" si="1">ROUNDUP(I4/50, 0)</f>
        <v>3</v>
      </c>
      <c r="M4" t="s">
        <v>447</v>
      </c>
      <c r="N4" s="2">
        <v>0.32300000000000001</v>
      </c>
      <c r="P4" s="71" t="s">
        <v>447</v>
      </c>
      <c r="Q4" s="2">
        <v>0</v>
      </c>
    </row>
    <row r="5" spans="1:17">
      <c r="A5">
        <f t="shared" ref="A5:A27" si="2">A4+1</f>
        <v>3</v>
      </c>
      <c r="B5">
        <f t="shared" ref="B5:B27" si="3">B4+5</f>
        <v>60</v>
      </c>
      <c r="C5">
        <f>SUM(B$3:B5)</f>
        <v>165</v>
      </c>
      <c r="D5">
        <f t="shared" ref="D5:D27" si="4">E5-E4</f>
        <v>1</v>
      </c>
      <c r="E5">
        <f t="shared" si="0"/>
        <v>4</v>
      </c>
      <c r="G5">
        <f t="shared" ref="G5:G27" si="5">G4+1</f>
        <v>3</v>
      </c>
      <c r="H5">
        <f>H4+15</f>
        <v>70</v>
      </c>
      <c r="I5">
        <f>SUM(H$3:H5)</f>
        <v>175</v>
      </c>
      <c r="J5">
        <f t="shared" ref="J5:J27" si="6">K5-K4</f>
        <v>1</v>
      </c>
      <c r="K5">
        <f t="shared" si="1"/>
        <v>4</v>
      </c>
      <c r="M5" t="s">
        <v>448</v>
      </c>
      <c r="N5">
        <f>IF(N3=25,2750,VLOOKUP(N3,A3:E27,3,FALSE)+ROUND(VLOOKUP(N3+1,A3:E27,2,FALSE)*N4,0))</f>
        <v>2150</v>
      </c>
      <c r="P5" s="71" t="s">
        <v>448</v>
      </c>
      <c r="Q5" s="71">
        <f>IF(Q3=25,5510,VLOOKUP(Q3,G3:K27,3,FALSE)+ROUND(VLOOKUP(Q3+1,G3:K27,2,FALSE)*Q4,0))</f>
        <v>5510</v>
      </c>
    </row>
    <row r="6" spans="1:17">
      <c r="A6">
        <f t="shared" si="2"/>
        <v>4</v>
      </c>
      <c r="B6">
        <f t="shared" si="3"/>
        <v>65</v>
      </c>
      <c r="C6">
        <f>SUM(B$3:B6)</f>
        <v>230</v>
      </c>
      <c r="D6">
        <f t="shared" si="4"/>
        <v>1</v>
      </c>
      <c r="E6">
        <f t="shared" si="0"/>
        <v>5</v>
      </c>
      <c r="G6">
        <f t="shared" si="5"/>
        <v>4</v>
      </c>
      <c r="H6">
        <f t="shared" ref="H6:H26" si="7">H5+15</f>
        <v>85</v>
      </c>
      <c r="I6">
        <f>SUM(H$3:H6)</f>
        <v>260</v>
      </c>
      <c r="J6">
        <f t="shared" si="6"/>
        <v>2</v>
      </c>
      <c r="K6">
        <f t="shared" si="1"/>
        <v>6</v>
      </c>
    </row>
    <row r="7" spans="1:17">
      <c r="A7">
        <f t="shared" si="2"/>
        <v>5</v>
      </c>
      <c r="B7">
        <f t="shared" si="3"/>
        <v>70</v>
      </c>
      <c r="C7">
        <f>SUM(B$3:B7)</f>
        <v>300</v>
      </c>
      <c r="D7">
        <f t="shared" si="4"/>
        <v>1</v>
      </c>
      <c r="E7">
        <f t="shared" si="0"/>
        <v>6</v>
      </c>
      <c r="G7">
        <f t="shared" si="5"/>
        <v>5</v>
      </c>
      <c r="H7">
        <f t="shared" si="7"/>
        <v>100</v>
      </c>
      <c r="I7">
        <f>SUM(H$3:H7)</f>
        <v>360</v>
      </c>
      <c r="J7">
        <f t="shared" si="6"/>
        <v>2</v>
      </c>
      <c r="K7">
        <f t="shared" si="1"/>
        <v>8</v>
      </c>
    </row>
    <row r="8" spans="1:17">
      <c r="A8">
        <f t="shared" si="2"/>
        <v>6</v>
      </c>
      <c r="B8">
        <f t="shared" si="3"/>
        <v>75</v>
      </c>
      <c r="C8">
        <f>SUM(B$3:B8)</f>
        <v>375</v>
      </c>
      <c r="D8">
        <f t="shared" si="4"/>
        <v>2</v>
      </c>
      <c r="E8">
        <f t="shared" si="0"/>
        <v>8</v>
      </c>
      <c r="G8">
        <f t="shared" si="5"/>
        <v>6</v>
      </c>
      <c r="H8">
        <f t="shared" si="7"/>
        <v>115</v>
      </c>
      <c r="I8">
        <f>SUM(H$3:H8)</f>
        <v>475</v>
      </c>
      <c r="J8">
        <f t="shared" si="6"/>
        <v>2</v>
      </c>
      <c r="K8">
        <f t="shared" si="1"/>
        <v>10</v>
      </c>
    </row>
    <row r="9" spans="1:17">
      <c r="A9">
        <f t="shared" si="2"/>
        <v>7</v>
      </c>
      <c r="B9">
        <f t="shared" si="3"/>
        <v>80</v>
      </c>
      <c r="C9">
        <f>SUM(B$3:B9)</f>
        <v>455</v>
      </c>
      <c r="D9">
        <f t="shared" si="4"/>
        <v>2</v>
      </c>
      <c r="E9">
        <f t="shared" si="0"/>
        <v>10</v>
      </c>
      <c r="G9">
        <f t="shared" si="5"/>
        <v>7</v>
      </c>
      <c r="H9">
        <f t="shared" si="7"/>
        <v>130</v>
      </c>
      <c r="I9">
        <f>SUM(H$3:H9)</f>
        <v>605</v>
      </c>
      <c r="J9">
        <f t="shared" si="6"/>
        <v>3</v>
      </c>
      <c r="K9">
        <f t="shared" si="1"/>
        <v>13</v>
      </c>
    </row>
    <row r="10" spans="1:17">
      <c r="A10">
        <f t="shared" si="2"/>
        <v>8</v>
      </c>
      <c r="B10">
        <f t="shared" si="3"/>
        <v>85</v>
      </c>
      <c r="C10">
        <f>SUM(B$3:B10)</f>
        <v>540</v>
      </c>
      <c r="D10">
        <f t="shared" si="4"/>
        <v>1</v>
      </c>
      <c r="E10">
        <f t="shared" si="0"/>
        <v>11</v>
      </c>
      <c r="G10">
        <f t="shared" si="5"/>
        <v>8</v>
      </c>
      <c r="H10">
        <f t="shared" si="7"/>
        <v>145</v>
      </c>
      <c r="I10">
        <f>SUM(H$3:H10)</f>
        <v>750</v>
      </c>
      <c r="J10">
        <f t="shared" si="6"/>
        <v>2</v>
      </c>
      <c r="K10">
        <f t="shared" si="1"/>
        <v>15</v>
      </c>
    </row>
    <row r="11" spans="1:17">
      <c r="A11">
        <f t="shared" si="2"/>
        <v>9</v>
      </c>
      <c r="B11">
        <f t="shared" si="3"/>
        <v>90</v>
      </c>
      <c r="C11">
        <f>SUM(B$3:B11)</f>
        <v>630</v>
      </c>
      <c r="D11">
        <f t="shared" si="4"/>
        <v>2</v>
      </c>
      <c r="E11">
        <f t="shared" si="0"/>
        <v>13</v>
      </c>
      <c r="G11">
        <f t="shared" si="5"/>
        <v>9</v>
      </c>
      <c r="H11">
        <f t="shared" si="7"/>
        <v>160</v>
      </c>
      <c r="I11">
        <f>SUM(H$3:H11)</f>
        <v>910</v>
      </c>
      <c r="J11">
        <f t="shared" si="6"/>
        <v>4</v>
      </c>
      <c r="K11">
        <f t="shared" si="1"/>
        <v>19</v>
      </c>
    </row>
    <row r="12" spans="1:17">
      <c r="A12">
        <f t="shared" si="2"/>
        <v>10</v>
      </c>
      <c r="B12">
        <f t="shared" si="3"/>
        <v>95</v>
      </c>
      <c r="C12">
        <f>SUM(B$3:B12)</f>
        <v>725</v>
      </c>
      <c r="D12">
        <f t="shared" si="4"/>
        <v>2</v>
      </c>
      <c r="E12">
        <f t="shared" si="0"/>
        <v>15</v>
      </c>
      <c r="G12">
        <f t="shared" si="5"/>
        <v>10</v>
      </c>
      <c r="H12">
        <f t="shared" si="7"/>
        <v>175</v>
      </c>
      <c r="I12">
        <f>SUM(H$3:H12)</f>
        <v>1085</v>
      </c>
      <c r="J12">
        <f t="shared" si="6"/>
        <v>3</v>
      </c>
      <c r="K12">
        <f t="shared" si="1"/>
        <v>22</v>
      </c>
    </row>
    <row r="13" spans="1:17">
      <c r="A13">
        <f t="shared" si="2"/>
        <v>11</v>
      </c>
      <c r="B13">
        <f t="shared" si="3"/>
        <v>100</v>
      </c>
      <c r="C13">
        <f>SUM(B$3:B13)</f>
        <v>825</v>
      </c>
      <c r="D13">
        <f t="shared" si="4"/>
        <v>2</v>
      </c>
      <c r="E13">
        <f t="shared" si="0"/>
        <v>17</v>
      </c>
      <c r="G13">
        <f t="shared" si="5"/>
        <v>11</v>
      </c>
      <c r="H13">
        <f t="shared" si="7"/>
        <v>190</v>
      </c>
      <c r="I13">
        <f>SUM(H$3:H13)</f>
        <v>1275</v>
      </c>
      <c r="J13">
        <f t="shared" si="6"/>
        <v>4</v>
      </c>
      <c r="K13">
        <f t="shared" si="1"/>
        <v>26</v>
      </c>
    </row>
    <row r="14" spans="1:17">
      <c r="A14">
        <f t="shared" si="2"/>
        <v>12</v>
      </c>
      <c r="B14">
        <f t="shared" si="3"/>
        <v>105</v>
      </c>
      <c r="C14">
        <f>SUM(B$3:B14)</f>
        <v>930</v>
      </c>
      <c r="D14">
        <f t="shared" si="4"/>
        <v>2</v>
      </c>
      <c r="E14">
        <f t="shared" si="0"/>
        <v>19</v>
      </c>
      <c r="G14">
        <f t="shared" si="5"/>
        <v>12</v>
      </c>
      <c r="H14">
        <f t="shared" si="7"/>
        <v>205</v>
      </c>
      <c r="I14">
        <f>SUM(H$3:H14)</f>
        <v>1480</v>
      </c>
      <c r="J14">
        <f t="shared" si="6"/>
        <v>4</v>
      </c>
      <c r="K14">
        <f t="shared" si="1"/>
        <v>30</v>
      </c>
    </row>
    <row r="15" spans="1:17">
      <c r="A15">
        <f t="shared" si="2"/>
        <v>13</v>
      </c>
      <c r="B15">
        <f t="shared" si="3"/>
        <v>110</v>
      </c>
      <c r="C15">
        <f>SUM(B$3:B15)</f>
        <v>1040</v>
      </c>
      <c r="D15">
        <f t="shared" si="4"/>
        <v>2</v>
      </c>
      <c r="E15">
        <f t="shared" si="0"/>
        <v>21</v>
      </c>
      <c r="G15">
        <f t="shared" si="5"/>
        <v>13</v>
      </c>
      <c r="H15">
        <f t="shared" si="7"/>
        <v>220</v>
      </c>
      <c r="I15">
        <f>SUM(H$3:H15)</f>
        <v>1700</v>
      </c>
      <c r="J15">
        <f t="shared" si="6"/>
        <v>4</v>
      </c>
      <c r="K15">
        <f t="shared" si="1"/>
        <v>34</v>
      </c>
    </row>
    <row r="16" spans="1:17">
      <c r="A16">
        <f t="shared" si="2"/>
        <v>14</v>
      </c>
      <c r="B16">
        <f t="shared" si="3"/>
        <v>115</v>
      </c>
      <c r="C16">
        <f>SUM(B$3:B16)</f>
        <v>1155</v>
      </c>
      <c r="D16">
        <f t="shared" si="4"/>
        <v>3</v>
      </c>
      <c r="E16">
        <f t="shared" si="0"/>
        <v>24</v>
      </c>
      <c r="G16">
        <f t="shared" si="5"/>
        <v>14</v>
      </c>
      <c r="H16">
        <f t="shared" si="7"/>
        <v>235</v>
      </c>
      <c r="I16">
        <f>SUM(H$3:H16)</f>
        <v>1935</v>
      </c>
      <c r="J16">
        <f t="shared" si="6"/>
        <v>5</v>
      </c>
      <c r="K16">
        <f t="shared" si="1"/>
        <v>39</v>
      </c>
    </row>
    <row r="17" spans="1:11">
      <c r="A17">
        <f t="shared" si="2"/>
        <v>15</v>
      </c>
      <c r="B17">
        <f t="shared" si="3"/>
        <v>120</v>
      </c>
      <c r="C17">
        <f>SUM(B$3:B17)</f>
        <v>1275</v>
      </c>
      <c r="D17">
        <f t="shared" si="4"/>
        <v>2</v>
      </c>
      <c r="E17">
        <f t="shared" si="0"/>
        <v>26</v>
      </c>
      <c r="G17">
        <f t="shared" si="5"/>
        <v>15</v>
      </c>
      <c r="H17">
        <f t="shared" si="7"/>
        <v>250</v>
      </c>
      <c r="I17">
        <f>SUM(H$3:H17)</f>
        <v>2185</v>
      </c>
      <c r="J17">
        <f t="shared" si="6"/>
        <v>5</v>
      </c>
      <c r="K17">
        <f t="shared" si="1"/>
        <v>44</v>
      </c>
    </row>
    <row r="18" spans="1:11">
      <c r="A18">
        <f t="shared" si="2"/>
        <v>16</v>
      </c>
      <c r="B18">
        <f t="shared" si="3"/>
        <v>125</v>
      </c>
      <c r="C18">
        <f>SUM(B$3:B18)</f>
        <v>1400</v>
      </c>
      <c r="D18">
        <f t="shared" si="4"/>
        <v>2</v>
      </c>
      <c r="E18">
        <f t="shared" si="0"/>
        <v>28</v>
      </c>
      <c r="G18">
        <f t="shared" si="5"/>
        <v>16</v>
      </c>
      <c r="H18">
        <f t="shared" si="7"/>
        <v>265</v>
      </c>
      <c r="I18">
        <f>SUM(H$3:H18)</f>
        <v>2450</v>
      </c>
      <c r="J18">
        <f t="shared" si="6"/>
        <v>5</v>
      </c>
      <c r="K18">
        <f t="shared" si="1"/>
        <v>49</v>
      </c>
    </row>
    <row r="19" spans="1:11">
      <c r="A19">
        <f t="shared" si="2"/>
        <v>17</v>
      </c>
      <c r="B19">
        <f t="shared" si="3"/>
        <v>130</v>
      </c>
      <c r="C19">
        <f>SUM(B$3:B19)</f>
        <v>1530</v>
      </c>
      <c r="D19">
        <f t="shared" si="4"/>
        <v>3</v>
      </c>
      <c r="E19">
        <f t="shared" si="0"/>
        <v>31</v>
      </c>
      <c r="G19">
        <f t="shared" si="5"/>
        <v>17</v>
      </c>
      <c r="H19">
        <f t="shared" si="7"/>
        <v>280</v>
      </c>
      <c r="I19">
        <f>SUM(H$3:H19)</f>
        <v>2730</v>
      </c>
      <c r="J19">
        <f t="shared" si="6"/>
        <v>6</v>
      </c>
      <c r="K19">
        <f t="shared" si="1"/>
        <v>55</v>
      </c>
    </row>
    <row r="20" spans="1:11">
      <c r="A20">
        <f t="shared" si="2"/>
        <v>18</v>
      </c>
      <c r="B20">
        <f t="shared" si="3"/>
        <v>135</v>
      </c>
      <c r="C20">
        <f>SUM(B$3:B20)</f>
        <v>1665</v>
      </c>
      <c r="D20">
        <f t="shared" si="4"/>
        <v>3</v>
      </c>
      <c r="E20">
        <f t="shared" si="0"/>
        <v>34</v>
      </c>
      <c r="G20">
        <f t="shared" si="5"/>
        <v>18</v>
      </c>
      <c r="H20">
        <f t="shared" si="7"/>
        <v>295</v>
      </c>
      <c r="I20">
        <f>SUM(H$3:H20)</f>
        <v>3025</v>
      </c>
      <c r="J20">
        <f t="shared" si="6"/>
        <v>6</v>
      </c>
      <c r="K20">
        <f t="shared" si="1"/>
        <v>61</v>
      </c>
    </row>
    <row r="21" spans="1:11">
      <c r="A21">
        <f t="shared" si="2"/>
        <v>19</v>
      </c>
      <c r="B21">
        <f t="shared" si="3"/>
        <v>140</v>
      </c>
      <c r="C21">
        <f>SUM(B$3:B21)</f>
        <v>1805</v>
      </c>
      <c r="D21">
        <f t="shared" si="4"/>
        <v>3</v>
      </c>
      <c r="E21">
        <f t="shared" si="0"/>
        <v>37</v>
      </c>
      <c r="G21">
        <f t="shared" si="5"/>
        <v>19</v>
      </c>
      <c r="H21">
        <f t="shared" si="7"/>
        <v>310</v>
      </c>
      <c r="I21">
        <f>SUM(H$3:H21)</f>
        <v>3335</v>
      </c>
      <c r="J21">
        <f t="shared" si="6"/>
        <v>6</v>
      </c>
      <c r="K21">
        <f t="shared" si="1"/>
        <v>67</v>
      </c>
    </row>
    <row r="22" spans="1:11">
      <c r="A22">
        <f t="shared" si="2"/>
        <v>20</v>
      </c>
      <c r="B22">
        <f t="shared" si="3"/>
        <v>145</v>
      </c>
      <c r="C22">
        <f>SUM(B$3:B22)</f>
        <v>1950</v>
      </c>
      <c r="D22">
        <f t="shared" si="4"/>
        <v>2</v>
      </c>
      <c r="E22">
        <f t="shared" si="0"/>
        <v>39</v>
      </c>
      <c r="G22">
        <f t="shared" si="5"/>
        <v>20</v>
      </c>
      <c r="H22">
        <f t="shared" si="7"/>
        <v>325</v>
      </c>
      <c r="I22">
        <f>SUM(H$3:H22)</f>
        <v>3660</v>
      </c>
      <c r="J22">
        <f t="shared" si="6"/>
        <v>7</v>
      </c>
      <c r="K22">
        <f t="shared" si="1"/>
        <v>74</v>
      </c>
    </row>
    <row r="23" spans="1:11">
      <c r="A23">
        <f t="shared" si="2"/>
        <v>21</v>
      </c>
      <c r="B23">
        <f t="shared" si="3"/>
        <v>150</v>
      </c>
      <c r="C23">
        <f>SUM(B$3:B23)</f>
        <v>2100</v>
      </c>
      <c r="D23">
        <f t="shared" si="4"/>
        <v>3</v>
      </c>
      <c r="E23">
        <f t="shared" si="0"/>
        <v>42</v>
      </c>
      <c r="G23">
        <f t="shared" si="5"/>
        <v>21</v>
      </c>
      <c r="H23">
        <f t="shared" si="7"/>
        <v>340</v>
      </c>
      <c r="I23">
        <f>SUM(H$3:H23)</f>
        <v>4000</v>
      </c>
      <c r="J23">
        <f t="shared" si="6"/>
        <v>6</v>
      </c>
      <c r="K23">
        <f t="shared" si="1"/>
        <v>80</v>
      </c>
    </row>
    <row r="24" spans="1:11">
      <c r="A24">
        <f t="shared" si="2"/>
        <v>22</v>
      </c>
      <c r="B24">
        <f t="shared" si="3"/>
        <v>155</v>
      </c>
      <c r="C24">
        <f>SUM(B$3:B24)</f>
        <v>2255</v>
      </c>
      <c r="D24">
        <f t="shared" si="4"/>
        <v>4</v>
      </c>
      <c r="E24">
        <f t="shared" si="0"/>
        <v>46</v>
      </c>
      <c r="G24">
        <f t="shared" si="5"/>
        <v>22</v>
      </c>
      <c r="H24">
        <f t="shared" si="7"/>
        <v>355</v>
      </c>
      <c r="I24">
        <f>SUM(H$3:H24)</f>
        <v>4355</v>
      </c>
      <c r="J24">
        <f t="shared" si="6"/>
        <v>8</v>
      </c>
      <c r="K24">
        <f t="shared" si="1"/>
        <v>88</v>
      </c>
    </row>
    <row r="25" spans="1:11">
      <c r="A25">
        <f t="shared" si="2"/>
        <v>23</v>
      </c>
      <c r="B25">
        <f t="shared" si="3"/>
        <v>160</v>
      </c>
      <c r="C25">
        <f>SUM(B$3:B25)</f>
        <v>2415</v>
      </c>
      <c r="D25">
        <f t="shared" si="4"/>
        <v>3</v>
      </c>
      <c r="E25">
        <f t="shared" si="0"/>
        <v>49</v>
      </c>
      <c r="G25">
        <f t="shared" si="5"/>
        <v>23</v>
      </c>
      <c r="H25">
        <f t="shared" si="7"/>
        <v>370</v>
      </c>
      <c r="I25">
        <f>SUM(H$3:H25)</f>
        <v>4725</v>
      </c>
      <c r="J25">
        <f t="shared" si="6"/>
        <v>7</v>
      </c>
      <c r="K25">
        <f t="shared" si="1"/>
        <v>95</v>
      </c>
    </row>
    <row r="26" spans="1:11">
      <c r="A26">
        <f t="shared" si="2"/>
        <v>24</v>
      </c>
      <c r="B26">
        <f t="shared" si="3"/>
        <v>165</v>
      </c>
      <c r="C26">
        <f>SUM(B$3:B26)</f>
        <v>2580</v>
      </c>
      <c r="D26">
        <f t="shared" si="4"/>
        <v>3</v>
      </c>
      <c r="E26">
        <f t="shared" si="0"/>
        <v>52</v>
      </c>
      <c r="G26">
        <f t="shared" si="5"/>
        <v>24</v>
      </c>
      <c r="H26">
        <f t="shared" si="7"/>
        <v>385</v>
      </c>
      <c r="I26">
        <f>SUM(H$3:H26)</f>
        <v>5110</v>
      </c>
      <c r="J26">
        <f t="shared" si="6"/>
        <v>8</v>
      </c>
      <c r="K26">
        <f t="shared" si="1"/>
        <v>103</v>
      </c>
    </row>
    <row r="27" spans="1:11">
      <c r="A27">
        <f t="shared" si="2"/>
        <v>25</v>
      </c>
      <c r="B27">
        <f t="shared" si="3"/>
        <v>170</v>
      </c>
      <c r="C27">
        <f>SUM(B$3:B27)</f>
        <v>2750</v>
      </c>
      <c r="D27">
        <f t="shared" si="4"/>
        <v>3</v>
      </c>
      <c r="E27">
        <f t="shared" si="0"/>
        <v>55</v>
      </c>
      <c r="G27">
        <f t="shared" si="5"/>
        <v>25</v>
      </c>
      <c r="H27">
        <f>H26+15</f>
        <v>400</v>
      </c>
      <c r="I27">
        <f>SUM(H$3:H27)</f>
        <v>5510</v>
      </c>
      <c r="J27">
        <f t="shared" si="6"/>
        <v>8</v>
      </c>
      <c r="K27">
        <f t="shared" si="1"/>
        <v>111</v>
      </c>
    </row>
  </sheetData>
  <sheetProtection algorithmName="SHA-512" hashValue="OC1fj7UdAELMawiSQ1DnfCruC88gGWRJ8UFT+w/B0jVN0NTHqHJilt5jMIRkJko9Gugq6HJQqnbGOSfo29NWDA==" saltValue="lg+lFcM93A48HPbN+XQE2A==" spinCount="100000" sheet="1" selectLockedCells="1"/>
  <mergeCells count="2">
    <mergeCell ref="A1:E1"/>
    <mergeCell ref="G1:K1"/>
  </mergeCells>
  <phoneticPr fontId="4" type="noConversion"/>
  <pageMargins left="0.7" right="0.7" top="0.75" bottom="0.75" header="0.3" footer="0.3"/>
  <pageSetup paperSize="9" orientation="portrait" horizontalDpi="4294967292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5"/>
  <sheetViews>
    <sheetView workbookViewId="0">
      <selection activeCell="B2" sqref="B2:C2"/>
    </sheetView>
  </sheetViews>
  <sheetFormatPr defaultRowHeight="17.399999999999999"/>
  <cols>
    <col min="1" max="1" width="15" bestFit="1" customWidth="1"/>
    <col min="2" max="2" width="15.69921875" bestFit="1" customWidth="1"/>
    <col min="3" max="3" width="12" bestFit="1" customWidth="1"/>
    <col min="4" max="5" width="13.5" bestFit="1" customWidth="1"/>
    <col min="6" max="6" width="14.09765625" bestFit="1" customWidth="1"/>
    <col min="8" max="8" width="18.19921875" bestFit="1" customWidth="1"/>
    <col min="15" max="15" width="15" bestFit="1" customWidth="1"/>
  </cols>
  <sheetData>
    <row r="1" spans="1:15">
      <c r="B1" s="196" t="s">
        <v>143</v>
      </c>
      <c r="C1" s="196"/>
      <c r="D1" s="196" t="s">
        <v>144</v>
      </c>
      <c r="E1" s="196"/>
      <c r="F1" s="196" t="s">
        <v>145</v>
      </c>
      <c r="G1" s="196"/>
      <c r="H1" s="196" t="s">
        <v>146</v>
      </c>
      <c r="I1" s="196"/>
      <c r="J1" s="196" t="s">
        <v>147</v>
      </c>
      <c r="K1" s="196"/>
      <c r="L1" s="196" t="s">
        <v>148</v>
      </c>
      <c r="M1" s="196"/>
      <c r="O1" t="s">
        <v>149</v>
      </c>
    </row>
    <row r="2" spans="1:15">
      <c r="A2" s="51" t="s">
        <v>150</v>
      </c>
      <c r="B2" s="215">
        <v>20</v>
      </c>
      <c r="C2" s="215"/>
      <c r="D2" s="215">
        <v>20</v>
      </c>
      <c r="E2" s="215"/>
      <c r="F2" s="215">
        <v>20</v>
      </c>
      <c r="G2" s="215"/>
      <c r="H2" s="215">
        <v>20</v>
      </c>
      <c r="I2" s="215"/>
      <c r="J2" s="215">
        <v>20</v>
      </c>
      <c r="K2" s="215"/>
      <c r="L2" s="215">
        <v>20</v>
      </c>
      <c r="M2" s="215"/>
      <c r="O2" s="99">
        <f>SUM(B11:M11)+HS!D23</f>
        <v>1340</v>
      </c>
    </row>
    <row r="3" spans="1:15">
      <c r="A3" s="51" t="s">
        <v>151</v>
      </c>
      <c r="B3" s="55"/>
      <c r="C3" s="47" t="str">
        <f>IFERROR(IF(B2=20,"MAX",VLOOKUP(B2+1,$B$17:$H$35,4,FALSE)),"ERROR")</f>
        <v>MAX</v>
      </c>
      <c r="D3" s="55"/>
      <c r="E3" s="47" t="str">
        <f>IFERROR(IF(D2=20,"MAX",VLOOKUP(D2+1,$B$17:$H$35,4,FALSE)),"ERROR")</f>
        <v>MAX</v>
      </c>
      <c r="F3" s="55"/>
      <c r="G3" s="47" t="str">
        <f>IFERROR(IF(F2=20,"MAX",VLOOKUP(F2+1,$B$17:$H$35,4,FALSE)),"ERROR")</f>
        <v>MAX</v>
      </c>
      <c r="H3" s="55"/>
      <c r="I3" s="47" t="str">
        <f>IFERROR(IF(H2=20,"MAX",VLOOKUP(H2+1,$B$17:$H$35,4,FALSE)),"ERROR")</f>
        <v>MAX</v>
      </c>
      <c r="J3" s="55"/>
      <c r="K3" s="47" t="str">
        <f>IFERROR(IF(J2=20,"MAX",VLOOKUP(J2+1,$B$17:$H$35,4,FALSE)),"ERROR")</f>
        <v>MAX</v>
      </c>
      <c r="L3" s="55"/>
      <c r="M3" s="47" t="str">
        <f>IFERROR(IF(L2=20,"MAX",VLOOKUP(L2+1,$B$17:$H$35,4,FALSE)),"ERROR")</f>
        <v>MAX</v>
      </c>
    </row>
    <row r="4" spans="1:15">
      <c r="A4" s="51" t="s">
        <v>152</v>
      </c>
      <c r="B4" s="215">
        <v>14</v>
      </c>
      <c r="C4" s="215"/>
      <c r="D4" s="215">
        <v>15</v>
      </c>
      <c r="E4" s="215"/>
      <c r="F4" s="215">
        <v>15</v>
      </c>
      <c r="G4" s="215"/>
      <c r="H4" s="215">
        <v>18</v>
      </c>
      <c r="I4" s="215"/>
      <c r="J4" s="215">
        <v>8</v>
      </c>
      <c r="K4" s="215"/>
      <c r="L4" s="215">
        <v>8</v>
      </c>
      <c r="M4" s="215"/>
    </row>
    <row r="5" spans="1:15">
      <c r="A5" s="51" t="s">
        <v>153</v>
      </c>
      <c r="B5" s="214" t="str">
        <f>IF(B2=20,"최대 레벨",CEILING((C3-B3)/B4,1))</f>
        <v>최대 레벨</v>
      </c>
      <c r="C5" s="214"/>
      <c r="D5" s="214" t="str">
        <f>IF(D2=20,"최대 레벨",CEILING((E3-D3)/D4,1))</f>
        <v>최대 레벨</v>
      </c>
      <c r="E5" s="214"/>
      <c r="F5" s="214" t="str">
        <f>IF(F2=20,"최대 레벨",CEILING((G3-F3)/F4,1))</f>
        <v>최대 레벨</v>
      </c>
      <c r="G5" s="214"/>
      <c r="H5" s="214" t="str">
        <f>IF(H2=20,"최대 레벨",CEILING((I3-H3)/H4,1))</f>
        <v>최대 레벨</v>
      </c>
      <c r="I5" s="214"/>
      <c r="J5" s="214" t="str">
        <f>IF(J2=20,"최대 레벨",CEILING((K3-J3)/J4,1))</f>
        <v>최대 레벨</v>
      </c>
      <c r="K5" s="214"/>
      <c r="L5" s="214" t="str">
        <f>IF(L2=20,"최대 레벨",CEILING((M3-L3)/L4,1))</f>
        <v>최대 레벨</v>
      </c>
      <c r="M5" s="214"/>
    </row>
    <row r="6" spans="1:15">
      <c r="A6" s="51" t="s">
        <v>154</v>
      </c>
      <c r="B6" s="213" t="str">
        <f>IF(B5="최대 레벨","최대 레벨",VLOOKUP(B2+1,$B$17:$H$35,2,FALSE))</f>
        <v>최대 레벨</v>
      </c>
      <c r="C6" s="213"/>
      <c r="D6" s="213" t="str">
        <f>IF(D5="최대 레벨","최대 레벨",VLOOKUP(D2+1,$B$17:$H$35,2,FALSE))</f>
        <v>최대 레벨</v>
      </c>
      <c r="E6" s="213"/>
      <c r="F6" s="213" t="str">
        <f>IF(F5="최대 레벨","최대 레벨",VLOOKUP(F2+1,$B$17:$H$35,2,FALSE))</f>
        <v>최대 레벨</v>
      </c>
      <c r="G6" s="213"/>
      <c r="H6" s="213" t="str">
        <f>IF(H5="최대 레벨","최대 레벨",VLOOKUP(H2+1,$B$17:$H$35,2,FALSE))</f>
        <v>최대 레벨</v>
      </c>
      <c r="I6" s="213"/>
      <c r="J6" s="213" t="str">
        <f>IF(J5="최대 레벨","최대 레벨",VLOOKUP(J2+1,$B$17:$H$35,2,FALSE))</f>
        <v>최대 레벨</v>
      </c>
      <c r="K6" s="213"/>
      <c r="L6" s="213" t="str">
        <f>IF(L5="최대 레벨","최대 레벨",VLOOKUP(L2+1,$B$17:$H$35,2,FALSE))</f>
        <v>최대 레벨</v>
      </c>
      <c r="M6" s="213"/>
    </row>
    <row r="7" spans="1:15">
      <c r="A7" s="196" t="s">
        <v>155</v>
      </c>
      <c r="B7" s="212">
        <f>IF(B12,VLOOKUP(B2,$B$17:$H$35,5,FALSE),VLOOKUP(B2,$B$17:$H$35,3,FALSE))</f>
        <v>1490360000</v>
      </c>
      <c r="C7" s="212"/>
      <c r="D7" s="212">
        <f>VLOOKUP(D2,$B$17:$H$35,3, FALSE)</f>
        <v>1490360000</v>
      </c>
      <c r="E7" s="212"/>
      <c r="F7" s="212">
        <f>VLOOKUP(F2,$B$17:$H$35,3, FALSE)</f>
        <v>1490360000</v>
      </c>
      <c r="G7" s="212"/>
      <c r="H7" s="212">
        <f>VLOOKUP(H2,$B$17:$H$35,3, FALSE)</f>
        <v>1490360000</v>
      </c>
      <c r="I7" s="212"/>
      <c r="J7" s="212">
        <f>VLOOKUP(J2,$B$17:$H$35,3, FALSE)</f>
        <v>1490360000</v>
      </c>
      <c r="K7" s="212"/>
      <c r="L7" s="212">
        <f>VLOOKUP(L2,$B$17:$H$35,3, FALSE)</f>
        <v>1490360000</v>
      </c>
      <c r="M7" s="212"/>
    </row>
    <row r="8" spans="1:15">
      <c r="A8" s="196"/>
      <c r="B8" s="217">
        <f>VLOOKUP(B2,$B$17:$H$35,7, FALSE)+B3</f>
        <v>2679</v>
      </c>
      <c r="C8" s="217"/>
      <c r="D8" s="217">
        <f>VLOOKUP(D2,$B$17:$H$35,7, FALSE)+D3</f>
        <v>2679</v>
      </c>
      <c r="E8" s="217"/>
      <c r="F8" s="217">
        <f>VLOOKUP(F2,$B$17:$H$35,7, FALSE)+F3</f>
        <v>2679</v>
      </c>
      <c r="G8" s="217"/>
      <c r="H8" s="217">
        <f>VLOOKUP(H2,$B$17:$H$35,7, FALSE)+H3</f>
        <v>2679</v>
      </c>
      <c r="I8" s="217"/>
      <c r="J8" s="217">
        <f>VLOOKUP(J2,$B$17:$H$35,7, FALSE)+J3</f>
        <v>2679</v>
      </c>
      <c r="K8" s="217"/>
      <c r="L8" s="217">
        <f>VLOOKUP(L2,$B$17:$H$35,7, FALSE)+L3</f>
        <v>2679</v>
      </c>
      <c r="M8" s="217"/>
    </row>
    <row r="9" spans="1:15">
      <c r="A9" s="196"/>
      <c r="B9" s="219" t="s">
        <v>156</v>
      </c>
      <c r="C9" s="219"/>
      <c r="D9" s="221">
        <f>SUM(B8:M8)</f>
        <v>16074</v>
      </c>
      <c r="E9" s="221"/>
      <c r="F9" s="221"/>
      <c r="G9" s="221"/>
      <c r="H9" s="219" t="s">
        <v>157</v>
      </c>
      <c r="I9" s="219"/>
      <c r="J9" s="220">
        <f>SUM(B7:M7)</f>
        <v>8942160000</v>
      </c>
      <c r="K9" s="220"/>
      <c r="L9" s="220"/>
      <c r="M9" s="220"/>
    </row>
    <row r="10" spans="1:15">
      <c r="A10" s="196"/>
      <c r="B10" s="219"/>
      <c r="C10" s="219"/>
      <c r="D10" s="221"/>
      <c r="E10" s="221"/>
      <c r="F10" s="221"/>
      <c r="G10" s="221"/>
      <c r="H10" s="219"/>
      <c r="I10" s="219"/>
      <c r="J10" s="220"/>
      <c r="K10" s="220"/>
      <c r="L10" s="220"/>
      <c r="M10" s="220"/>
    </row>
    <row r="11" spans="1:15">
      <c r="A11" s="51" t="s">
        <v>158</v>
      </c>
      <c r="B11" s="216">
        <f>IF(B2=0, 0, B2*10+20)</f>
        <v>220</v>
      </c>
      <c r="C11" s="216"/>
      <c r="D11" s="216">
        <f>IF(D2=0, 0, D2*10+20)</f>
        <v>220</v>
      </c>
      <c r="E11" s="216"/>
      <c r="F11" s="216">
        <f>IF(F2=0, 0, F2*10+20)</f>
        <v>220</v>
      </c>
      <c r="G11" s="216"/>
      <c r="H11" s="216">
        <f>IF(H2=0, 0, H2*10+20)</f>
        <v>220</v>
      </c>
      <c r="I11" s="216"/>
      <c r="J11" s="216">
        <f>IF(J2=0, 0, J2*10+20)</f>
        <v>220</v>
      </c>
      <c r="K11" s="216"/>
      <c r="L11" s="216">
        <f>IF(L2=0, 0, L2*10+20)</f>
        <v>220</v>
      </c>
      <c r="M11" s="216"/>
    </row>
    <row r="12" spans="1:15">
      <c r="A12" s="189" t="s">
        <v>630</v>
      </c>
      <c r="B12" s="218" t="b">
        <v>0</v>
      </c>
      <c r="C12" s="218"/>
      <c r="D12" s="52"/>
      <c r="E12" s="52"/>
      <c r="F12" s="52"/>
      <c r="G12" s="52"/>
      <c r="H12" s="52"/>
      <c r="I12" s="52"/>
      <c r="J12" s="52"/>
      <c r="K12" s="52"/>
      <c r="L12" s="52"/>
      <c r="M12" s="52"/>
    </row>
    <row r="13" spans="1:15">
      <c r="A13" s="187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</row>
    <row r="14" spans="1:15"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</row>
    <row r="16" spans="1:15">
      <c r="A16" t="s">
        <v>159</v>
      </c>
      <c r="B16" t="s">
        <v>160</v>
      </c>
      <c r="C16" t="s">
        <v>161</v>
      </c>
      <c r="D16" t="s">
        <v>162</v>
      </c>
      <c r="E16" t="s">
        <v>626</v>
      </c>
      <c r="F16" t="s">
        <v>627</v>
      </c>
      <c r="G16" t="s">
        <v>163</v>
      </c>
      <c r="H16" t="s">
        <v>164</v>
      </c>
    </row>
    <row r="17" spans="1:8">
      <c r="A17">
        <v>1</v>
      </c>
      <c r="B17">
        <v>2</v>
      </c>
      <c r="C17" s="3">
        <v>19040000</v>
      </c>
      <c r="D17" s="3">
        <f>SUM($C$17:C17)</f>
        <v>19040000</v>
      </c>
      <c r="E17" s="188">
        <v>9500000</v>
      </c>
      <c r="F17" s="188">
        <f>SUM($E$17:E17)</f>
        <v>9500000</v>
      </c>
      <c r="G17">
        <f t="shared" ref="G17:G35" si="0">A17^2+11</f>
        <v>12</v>
      </c>
      <c r="H17">
        <f>SUM($G$17:G17)</f>
        <v>12</v>
      </c>
    </row>
    <row r="18" spans="1:8">
      <c r="A18">
        <f>A17+1</f>
        <v>2</v>
      </c>
      <c r="B18">
        <f>B17+1</f>
        <v>3</v>
      </c>
      <c r="C18" s="3">
        <f>C17+6600000</f>
        <v>25640000</v>
      </c>
      <c r="D18" s="3">
        <f>SUM($C$17:C18)</f>
        <v>44680000</v>
      </c>
      <c r="E18" s="188">
        <f>E17+7130000</f>
        <v>16630000</v>
      </c>
      <c r="F18" s="188">
        <f>SUM($E$17:E18)</f>
        <v>26130000</v>
      </c>
      <c r="G18">
        <f t="shared" si="0"/>
        <v>15</v>
      </c>
      <c r="H18">
        <f>SUM($G$17:G18)</f>
        <v>27</v>
      </c>
    </row>
    <row r="19" spans="1:8">
      <c r="A19">
        <f t="shared" ref="A19:A35" si="1">A18+1</f>
        <v>3</v>
      </c>
      <c r="B19">
        <f t="shared" ref="B19:B35" si="2">B18+1</f>
        <v>4</v>
      </c>
      <c r="C19" s="3">
        <f t="shared" ref="C19:C35" si="3">C18+6600000</f>
        <v>32240000</v>
      </c>
      <c r="D19" s="3">
        <f>SUM($C$17:C19)</f>
        <v>76920000</v>
      </c>
      <c r="E19" s="188">
        <f t="shared" ref="E19:E35" si="4">E18+7130000</f>
        <v>23760000</v>
      </c>
      <c r="F19" s="188">
        <f>SUM($E$17:E19)</f>
        <v>49890000</v>
      </c>
      <c r="G19">
        <f t="shared" si="0"/>
        <v>20</v>
      </c>
      <c r="H19">
        <f>SUM($G$17:G19)</f>
        <v>47</v>
      </c>
    </row>
    <row r="20" spans="1:8">
      <c r="A20">
        <f t="shared" si="1"/>
        <v>4</v>
      </c>
      <c r="B20">
        <f t="shared" si="2"/>
        <v>5</v>
      </c>
      <c r="C20" s="3">
        <f t="shared" si="3"/>
        <v>38840000</v>
      </c>
      <c r="D20" s="3">
        <f>SUM($C$17:C20)</f>
        <v>115760000</v>
      </c>
      <c r="E20" s="188">
        <f t="shared" si="4"/>
        <v>30890000</v>
      </c>
      <c r="F20" s="188">
        <f>SUM($E$17:E20)</f>
        <v>80780000</v>
      </c>
      <c r="G20">
        <f t="shared" si="0"/>
        <v>27</v>
      </c>
      <c r="H20">
        <f>SUM($G$17:G20)</f>
        <v>74</v>
      </c>
    </row>
    <row r="21" spans="1:8">
      <c r="A21">
        <f t="shared" si="1"/>
        <v>5</v>
      </c>
      <c r="B21">
        <f t="shared" si="2"/>
        <v>6</v>
      </c>
      <c r="C21" s="3">
        <f t="shared" si="3"/>
        <v>45440000</v>
      </c>
      <c r="D21" s="3">
        <f>SUM($C$17:C21)</f>
        <v>161200000</v>
      </c>
      <c r="E21" s="188">
        <f t="shared" si="4"/>
        <v>38020000</v>
      </c>
      <c r="F21" s="188">
        <f>SUM($E$17:E21)</f>
        <v>118800000</v>
      </c>
      <c r="G21">
        <f t="shared" si="0"/>
        <v>36</v>
      </c>
      <c r="H21">
        <f>SUM($G$17:G21)</f>
        <v>110</v>
      </c>
    </row>
    <row r="22" spans="1:8">
      <c r="A22">
        <f t="shared" si="1"/>
        <v>6</v>
      </c>
      <c r="B22">
        <f t="shared" si="2"/>
        <v>7</v>
      </c>
      <c r="C22" s="3">
        <f t="shared" si="3"/>
        <v>52040000</v>
      </c>
      <c r="D22" s="3">
        <f>SUM($C$17:C22)</f>
        <v>213240000</v>
      </c>
      <c r="E22" s="188">
        <f t="shared" si="4"/>
        <v>45150000</v>
      </c>
      <c r="F22" s="188">
        <f>SUM($E$17:E22)</f>
        <v>163950000</v>
      </c>
      <c r="G22">
        <f t="shared" si="0"/>
        <v>47</v>
      </c>
      <c r="H22">
        <f>SUM($G$17:G22)</f>
        <v>157</v>
      </c>
    </row>
    <row r="23" spans="1:8">
      <c r="A23">
        <f t="shared" si="1"/>
        <v>7</v>
      </c>
      <c r="B23">
        <f t="shared" si="2"/>
        <v>8</v>
      </c>
      <c r="C23" s="3">
        <f t="shared" si="3"/>
        <v>58640000</v>
      </c>
      <c r="D23" s="3">
        <f>SUM($C$17:C23)</f>
        <v>271880000</v>
      </c>
      <c r="E23" s="188">
        <f t="shared" si="4"/>
        <v>52280000</v>
      </c>
      <c r="F23" s="188">
        <f>SUM($E$17:E23)</f>
        <v>216230000</v>
      </c>
      <c r="G23">
        <f t="shared" si="0"/>
        <v>60</v>
      </c>
      <c r="H23">
        <f>SUM($G$17:G23)</f>
        <v>217</v>
      </c>
    </row>
    <row r="24" spans="1:8">
      <c r="A24">
        <f t="shared" si="1"/>
        <v>8</v>
      </c>
      <c r="B24">
        <f t="shared" si="2"/>
        <v>9</v>
      </c>
      <c r="C24" s="3">
        <f t="shared" si="3"/>
        <v>65240000</v>
      </c>
      <c r="D24" s="3">
        <f>SUM($C$17:C24)</f>
        <v>337120000</v>
      </c>
      <c r="E24" s="188">
        <f t="shared" si="4"/>
        <v>59410000</v>
      </c>
      <c r="F24" s="188">
        <f>SUM($E$17:E24)</f>
        <v>275640000</v>
      </c>
      <c r="G24">
        <f t="shared" si="0"/>
        <v>75</v>
      </c>
      <c r="H24">
        <f>SUM($G$17:G24)</f>
        <v>292</v>
      </c>
    </row>
    <row r="25" spans="1:8">
      <c r="A25">
        <f t="shared" si="1"/>
        <v>9</v>
      </c>
      <c r="B25">
        <f t="shared" si="2"/>
        <v>10</v>
      </c>
      <c r="C25" s="3">
        <f t="shared" si="3"/>
        <v>71840000</v>
      </c>
      <c r="D25" s="3">
        <f>SUM($C$17:C25)</f>
        <v>408960000</v>
      </c>
      <c r="E25" s="188">
        <f t="shared" si="4"/>
        <v>66540000</v>
      </c>
      <c r="F25" s="188">
        <f>SUM($E$17:E25)</f>
        <v>342180000</v>
      </c>
      <c r="G25">
        <f t="shared" si="0"/>
        <v>92</v>
      </c>
      <c r="H25">
        <f>SUM($G$17:G25)</f>
        <v>384</v>
      </c>
    </row>
    <row r="26" spans="1:8">
      <c r="A26">
        <f t="shared" si="1"/>
        <v>10</v>
      </c>
      <c r="B26">
        <f t="shared" si="2"/>
        <v>11</v>
      </c>
      <c r="C26" s="3">
        <f t="shared" si="3"/>
        <v>78440000</v>
      </c>
      <c r="D26" s="3">
        <f>SUM($C$17:C26)</f>
        <v>487400000</v>
      </c>
      <c r="E26" s="188">
        <f t="shared" si="4"/>
        <v>73670000</v>
      </c>
      <c r="F26" s="188">
        <f>SUM($E$17:E26)</f>
        <v>415850000</v>
      </c>
      <c r="G26">
        <f t="shared" si="0"/>
        <v>111</v>
      </c>
      <c r="H26">
        <f>SUM($G$17:G26)</f>
        <v>495</v>
      </c>
    </row>
    <row r="27" spans="1:8">
      <c r="A27">
        <f t="shared" si="1"/>
        <v>11</v>
      </c>
      <c r="B27">
        <f t="shared" si="2"/>
        <v>12</v>
      </c>
      <c r="C27" s="3">
        <f t="shared" si="3"/>
        <v>85040000</v>
      </c>
      <c r="D27" s="3">
        <f>SUM($C$17:C27)</f>
        <v>572440000</v>
      </c>
      <c r="E27" s="188">
        <f t="shared" si="4"/>
        <v>80800000</v>
      </c>
      <c r="F27" s="188">
        <f>SUM($E$17:E27)</f>
        <v>496650000</v>
      </c>
      <c r="G27">
        <f t="shared" si="0"/>
        <v>132</v>
      </c>
      <c r="H27">
        <f>SUM($G$17:G27)</f>
        <v>627</v>
      </c>
    </row>
    <row r="28" spans="1:8">
      <c r="A28">
        <f t="shared" si="1"/>
        <v>12</v>
      </c>
      <c r="B28">
        <f t="shared" si="2"/>
        <v>13</v>
      </c>
      <c r="C28" s="3">
        <f t="shared" si="3"/>
        <v>91640000</v>
      </c>
      <c r="D28" s="3">
        <f>SUM($C$17:C28)</f>
        <v>664080000</v>
      </c>
      <c r="E28" s="188">
        <f t="shared" si="4"/>
        <v>87930000</v>
      </c>
      <c r="F28" s="188">
        <f>SUM($E$17:E28)</f>
        <v>584580000</v>
      </c>
      <c r="G28">
        <f t="shared" si="0"/>
        <v>155</v>
      </c>
      <c r="H28">
        <f>SUM($G$17:G28)</f>
        <v>782</v>
      </c>
    </row>
    <row r="29" spans="1:8">
      <c r="A29">
        <f t="shared" si="1"/>
        <v>13</v>
      </c>
      <c r="B29">
        <f t="shared" si="2"/>
        <v>14</v>
      </c>
      <c r="C29" s="3">
        <f t="shared" si="3"/>
        <v>98240000</v>
      </c>
      <c r="D29" s="3">
        <f>SUM($C$17:C29)</f>
        <v>762320000</v>
      </c>
      <c r="E29" s="188">
        <f>E28+7130000</f>
        <v>95060000</v>
      </c>
      <c r="F29" s="188">
        <f>SUM($E$17:E29)</f>
        <v>679640000</v>
      </c>
      <c r="G29">
        <f t="shared" si="0"/>
        <v>180</v>
      </c>
      <c r="H29">
        <f>SUM($G$17:G29)</f>
        <v>962</v>
      </c>
    </row>
    <row r="30" spans="1:8">
      <c r="A30">
        <f t="shared" si="1"/>
        <v>14</v>
      </c>
      <c r="B30">
        <f t="shared" si="2"/>
        <v>15</v>
      </c>
      <c r="C30" s="3">
        <f t="shared" si="3"/>
        <v>104840000</v>
      </c>
      <c r="D30" s="3">
        <f>SUM($C$17:C30)</f>
        <v>867160000</v>
      </c>
      <c r="E30" s="188">
        <f t="shared" si="4"/>
        <v>102190000</v>
      </c>
      <c r="F30" s="188">
        <f>SUM($E$17:E30)</f>
        <v>781830000</v>
      </c>
      <c r="G30">
        <f t="shared" si="0"/>
        <v>207</v>
      </c>
      <c r="H30">
        <f>SUM($G$17:G30)</f>
        <v>1169</v>
      </c>
    </row>
    <row r="31" spans="1:8">
      <c r="A31">
        <f t="shared" si="1"/>
        <v>15</v>
      </c>
      <c r="B31">
        <f t="shared" si="2"/>
        <v>16</v>
      </c>
      <c r="C31" s="3">
        <f t="shared" si="3"/>
        <v>111440000</v>
      </c>
      <c r="D31" s="3">
        <f>SUM($C$17:C31)</f>
        <v>978600000</v>
      </c>
      <c r="E31" s="188">
        <f t="shared" si="4"/>
        <v>109320000</v>
      </c>
      <c r="F31" s="188">
        <f>SUM($E$17:E31)</f>
        <v>891150000</v>
      </c>
      <c r="G31">
        <f t="shared" si="0"/>
        <v>236</v>
      </c>
      <c r="H31">
        <f>SUM($G$17:G31)</f>
        <v>1405</v>
      </c>
    </row>
    <row r="32" spans="1:8">
      <c r="A32">
        <f t="shared" si="1"/>
        <v>16</v>
      </c>
      <c r="B32">
        <f t="shared" si="2"/>
        <v>17</v>
      </c>
      <c r="C32" s="3">
        <f t="shared" si="3"/>
        <v>118040000</v>
      </c>
      <c r="D32" s="3">
        <f>SUM($C$17:C32)</f>
        <v>1096640000</v>
      </c>
      <c r="E32" s="188">
        <f t="shared" si="4"/>
        <v>116450000</v>
      </c>
      <c r="F32" s="188">
        <f>SUM($E$17:E32)</f>
        <v>1007600000</v>
      </c>
      <c r="G32">
        <f t="shared" si="0"/>
        <v>267</v>
      </c>
      <c r="H32">
        <f>SUM($G$17:G32)</f>
        <v>1672</v>
      </c>
    </row>
    <row r="33" spans="1:8">
      <c r="A33">
        <f t="shared" si="1"/>
        <v>17</v>
      </c>
      <c r="B33">
        <f t="shared" si="2"/>
        <v>18</v>
      </c>
      <c r="C33" s="3">
        <f t="shared" si="3"/>
        <v>124640000</v>
      </c>
      <c r="D33" s="3">
        <f>SUM($C$17:C33)</f>
        <v>1221280000</v>
      </c>
      <c r="E33" s="188">
        <f t="shared" si="4"/>
        <v>123580000</v>
      </c>
      <c r="F33" s="188">
        <f>SUM($E$17:E33)</f>
        <v>1131180000</v>
      </c>
      <c r="G33">
        <f t="shared" si="0"/>
        <v>300</v>
      </c>
      <c r="H33">
        <f>SUM($G$17:G33)</f>
        <v>1972</v>
      </c>
    </row>
    <row r="34" spans="1:8">
      <c r="A34">
        <f t="shared" si="1"/>
        <v>18</v>
      </c>
      <c r="B34">
        <f t="shared" si="2"/>
        <v>19</v>
      </c>
      <c r="C34" s="3">
        <f t="shared" si="3"/>
        <v>131240000</v>
      </c>
      <c r="D34" s="3">
        <f>SUM($C$17:C34)</f>
        <v>1352520000</v>
      </c>
      <c r="E34" s="188">
        <f t="shared" si="4"/>
        <v>130710000</v>
      </c>
      <c r="F34" s="188">
        <f>SUM($E$17:E34)</f>
        <v>1261890000</v>
      </c>
      <c r="G34">
        <f t="shared" si="0"/>
        <v>335</v>
      </c>
      <c r="H34">
        <f>SUM($G$17:G34)</f>
        <v>2307</v>
      </c>
    </row>
    <row r="35" spans="1:8">
      <c r="A35">
        <f t="shared" si="1"/>
        <v>19</v>
      </c>
      <c r="B35">
        <f t="shared" si="2"/>
        <v>20</v>
      </c>
      <c r="C35" s="3">
        <f t="shared" si="3"/>
        <v>137840000</v>
      </c>
      <c r="D35" s="3">
        <f>SUM($C$17:C35)</f>
        <v>1490360000</v>
      </c>
      <c r="E35" s="188">
        <f t="shared" si="4"/>
        <v>137840000</v>
      </c>
      <c r="F35" s="188">
        <f>SUM($E$17:E35)</f>
        <v>1399730000</v>
      </c>
      <c r="G35">
        <f t="shared" si="0"/>
        <v>372</v>
      </c>
      <c r="H35">
        <f>SUM($G$17:G35)</f>
        <v>2679</v>
      </c>
    </row>
  </sheetData>
  <sheetProtection algorithmName="SHA-512" hashValue="oO/V5kwMxN5aXFQDVydCQlmPh6j3Psk5aAQYqEktawdA3Fy2IakiOYhzUm78+4e5idHi1rghd30RWRSw0UANOg==" saltValue="3ZNWKIIVKDrw36ZgsU0y1w==" spinCount="100000" sheet="1" selectLockedCells="1"/>
  <mergeCells count="54">
    <mergeCell ref="B12:C12"/>
    <mergeCell ref="B9:C10"/>
    <mergeCell ref="A7:A10"/>
    <mergeCell ref="J9:M10"/>
    <mergeCell ref="H9:I10"/>
    <mergeCell ref="D9:G10"/>
    <mergeCell ref="J8:K8"/>
    <mergeCell ref="H8:I8"/>
    <mergeCell ref="D8:E8"/>
    <mergeCell ref="F8:G8"/>
    <mergeCell ref="D7:E7"/>
    <mergeCell ref="B7:C7"/>
    <mergeCell ref="B8:C8"/>
    <mergeCell ref="F7:G7"/>
    <mergeCell ref="B11:C11"/>
    <mergeCell ref="D11:E11"/>
    <mergeCell ref="F11:G11"/>
    <mergeCell ref="H11:I11"/>
    <mergeCell ref="J11:K11"/>
    <mergeCell ref="L11:M11"/>
    <mergeCell ref="L1:M1"/>
    <mergeCell ref="L2:M2"/>
    <mergeCell ref="L4:M4"/>
    <mergeCell ref="L5:M5"/>
    <mergeCell ref="L7:M7"/>
    <mergeCell ref="L8:M8"/>
    <mergeCell ref="L6:M6"/>
    <mergeCell ref="J1:K1"/>
    <mergeCell ref="J2:K2"/>
    <mergeCell ref="J4:K4"/>
    <mergeCell ref="J5:K5"/>
    <mergeCell ref="J7:K7"/>
    <mergeCell ref="J6:K6"/>
    <mergeCell ref="H1:I1"/>
    <mergeCell ref="H2:I2"/>
    <mergeCell ref="H4:I4"/>
    <mergeCell ref="H5:I5"/>
    <mergeCell ref="B5:C5"/>
    <mergeCell ref="B4:C4"/>
    <mergeCell ref="B2:C2"/>
    <mergeCell ref="F1:G1"/>
    <mergeCell ref="F2:G2"/>
    <mergeCell ref="F4:G4"/>
    <mergeCell ref="B1:C1"/>
    <mergeCell ref="D1:E1"/>
    <mergeCell ref="D2:E2"/>
    <mergeCell ref="D4:E4"/>
    <mergeCell ref="D5:E5"/>
    <mergeCell ref="F5:G5"/>
    <mergeCell ref="H7:I7"/>
    <mergeCell ref="H6:I6"/>
    <mergeCell ref="D6:E6"/>
    <mergeCell ref="F6:G6"/>
    <mergeCell ref="B6:C6"/>
  </mergeCells>
  <phoneticPr fontId="4" type="noConversion"/>
  <dataValidations count="1">
    <dataValidation type="list" allowBlank="1" showInputMessage="1" showErrorMessage="1" sqref="B12:C12" xr:uid="{AA006A6D-C3B7-4C77-8558-E590B732FBFF}">
      <formula1>"TRUE, FALSE"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79BE7-3670-3147-8DE1-AF5ECB92FFF4}">
  <dimension ref="A1:L140"/>
  <sheetViews>
    <sheetView zoomScaleNormal="60" zoomScaleSheetLayoutView="100" workbookViewId="0">
      <selection activeCell="B3" sqref="B3"/>
    </sheetView>
  </sheetViews>
  <sheetFormatPr defaultRowHeight="17.399999999999999"/>
  <cols>
    <col min="1" max="1" width="10.59765625" customWidth="1"/>
    <col min="6" max="6" width="9.296875" bestFit="1" customWidth="1"/>
  </cols>
  <sheetData>
    <row r="1" spans="1:12">
      <c r="A1" s="222">
        <f>DPM!C2</f>
        <v>1163639358864.886</v>
      </c>
      <c r="B1" s="222"/>
      <c r="F1" s="179" t="s">
        <v>602</v>
      </c>
    </row>
    <row r="3" spans="1:12">
      <c r="A3" t="s">
        <v>367</v>
      </c>
      <c r="B3" s="180">
        <f>Stat!C17</f>
        <v>249</v>
      </c>
      <c r="F3" t="s">
        <v>368</v>
      </c>
      <c r="J3" t="s">
        <v>369</v>
      </c>
    </row>
    <row r="4" spans="1:12">
      <c r="A4" t="s">
        <v>370</v>
      </c>
      <c r="B4">
        <f>VLOOKUP(B3,F5:H140, 3, FALSE)</f>
        <v>880</v>
      </c>
      <c r="F4" t="s">
        <v>367</v>
      </c>
      <c r="G4" t="s">
        <v>371</v>
      </c>
      <c r="H4" t="s">
        <v>372</v>
      </c>
      <c r="J4" t="s">
        <v>367</v>
      </c>
      <c r="K4" t="s">
        <v>369</v>
      </c>
      <c r="L4" t="s">
        <v>372</v>
      </c>
    </row>
    <row r="5" spans="1:12">
      <c r="F5">
        <v>140</v>
      </c>
      <c r="G5">
        <f>INT(F5/10)-11</f>
        <v>3</v>
      </c>
      <c r="H5">
        <f>SUM($G5:$G$5)</f>
        <v>3</v>
      </c>
      <c r="J5">
        <v>1</v>
      </c>
      <c r="K5">
        <v>1</v>
      </c>
      <c r="L5">
        <f>SUM($K$5:K5)</f>
        <v>1</v>
      </c>
    </row>
    <row r="6" spans="1:12">
      <c r="A6" t="s">
        <v>621</v>
      </c>
      <c r="B6">
        <f>B4-SUM(C9:C23)</f>
        <v>27</v>
      </c>
      <c r="F6">
        <f>F5+1</f>
        <v>141</v>
      </c>
      <c r="G6">
        <f t="shared" ref="G6:G69" si="0">INT(F6/10)-11</f>
        <v>3</v>
      </c>
      <c r="H6">
        <f>SUM($G$5:$G6)</f>
        <v>6</v>
      </c>
      <c r="J6">
        <f>J5+1</f>
        <v>2</v>
      </c>
      <c r="K6">
        <v>2</v>
      </c>
      <c r="L6">
        <f>SUM($K$5:K6)</f>
        <v>3</v>
      </c>
    </row>
    <row r="7" spans="1:12">
      <c r="F7">
        <f t="shared" ref="F7:F70" si="1">F6+1</f>
        <v>142</v>
      </c>
      <c r="G7">
        <f t="shared" si="0"/>
        <v>3</v>
      </c>
      <c r="H7">
        <f>SUM($G$5:$G7)</f>
        <v>9</v>
      </c>
      <c r="J7">
        <f t="shared" ref="J7:J19" si="2">J6+1</f>
        <v>3</v>
      </c>
      <c r="K7">
        <v>4</v>
      </c>
      <c r="L7">
        <f>SUM($K$5:K7)</f>
        <v>7</v>
      </c>
    </row>
    <row r="8" spans="1:12">
      <c r="B8" t="s">
        <v>367</v>
      </c>
      <c r="C8" t="s">
        <v>369</v>
      </c>
      <c r="D8" t="s">
        <v>373</v>
      </c>
      <c r="F8">
        <f t="shared" si="1"/>
        <v>143</v>
      </c>
      <c r="G8">
        <f t="shared" si="0"/>
        <v>3</v>
      </c>
      <c r="H8">
        <f>SUM($G$5:$G8)</f>
        <v>12</v>
      </c>
      <c r="J8">
        <f t="shared" si="2"/>
        <v>4</v>
      </c>
      <c r="K8">
        <v>8</v>
      </c>
      <c r="L8">
        <f>SUM($K$5:K8)</f>
        <v>15</v>
      </c>
    </row>
    <row r="9" spans="1:12">
      <c r="A9" t="s">
        <v>374</v>
      </c>
      <c r="B9" s="180">
        <v>5</v>
      </c>
      <c r="C9">
        <f>IF(B9=0, 0, VLOOKUP(B9,$J$5:$L$19,3,FALSE))</f>
        <v>25</v>
      </c>
      <c r="D9">
        <f>B9*30</f>
        <v>150</v>
      </c>
      <c r="F9">
        <f t="shared" si="1"/>
        <v>144</v>
      </c>
      <c r="G9">
        <f t="shared" si="0"/>
        <v>3</v>
      </c>
      <c r="H9">
        <f>SUM($G$5:$G9)</f>
        <v>15</v>
      </c>
      <c r="J9">
        <f t="shared" si="2"/>
        <v>5</v>
      </c>
      <c r="K9">
        <v>10</v>
      </c>
      <c r="L9">
        <f>SUM($K$5:K9)</f>
        <v>25</v>
      </c>
    </row>
    <row r="10" spans="1:12">
      <c r="A10" t="s">
        <v>375</v>
      </c>
      <c r="B10" s="180"/>
      <c r="C10">
        <f t="shared" ref="C10:C14" si="3">IF(B10=0, 0, VLOOKUP(B10,$J$5:$L$19,3,FALSE))</f>
        <v>0</v>
      </c>
      <c r="D10" s="168">
        <f t="shared" ref="D10:D12" si="4">B10*30</f>
        <v>0</v>
      </c>
      <c r="F10">
        <f t="shared" si="1"/>
        <v>145</v>
      </c>
      <c r="G10">
        <f t="shared" si="0"/>
        <v>3</v>
      </c>
      <c r="H10">
        <f>SUM($G$5:$G10)</f>
        <v>18</v>
      </c>
      <c r="J10">
        <f t="shared" si="2"/>
        <v>6</v>
      </c>
      <c r="K10">
        <v>15</v>
      </c>
      <c r="L10">
        <f>SUM($K$5:K10)</f>
        <v>40</v>
      </c>
    </row>
    <row r="11" spans="1:12">
      <c r="A11" s="172" t="s">
        <v>376</v>
      </c>
      <c r="B11" s="180"/>
      <c r="C11">
        <f t="shared" si="3"/>
        <v>0</v>
      </c>
      <c r="D11" s="168">
        <f t="shared" si="4"/>
        <v>0</v>
      </c>
      <c r="F11">
        <f t="shared" si="1"/>
        <v>146</v>
      </c>
      <c r="G11">
        <f t="shared" si="0"/>
        <v>3</v>
      </c>
      <c r="H11">
        <f>SUM($G$5:$G11)</f>
        <v>21</v>
      </c>
      <c r="J11">
        <f t="shared" si="2"/>
        <v>7</v>
      </c>
      <c r="K11">
        <v>20</v>
      </c>
      <c r="L11">
        <f>SUM($K$5:K11)</f>
        <v>60</v>
      </c>
    </row>
    <row r="12" spans="1:12">
      <c r="A12" s="173" t="s">
        <v>377</v>
      </c>
      <c r="B12" s="180"/>
      <c r="C12">
        <f t="shared" si="3"/>
        <v>0</v>
      </c>
      <c r="D12" s="168">
        <f t="shared" si="4"/>
        <v>0</v>
      </c>
      <c r="F12">
        <f t="shared" si="1"/>
        <v>147</v>
      </c>
      <c r="G12">
        <f t="shared" si="0"/>
        <v>3</v>
      </c>
      <c r="H12">
        <f>SUM($G$5:$G12)</f>
        <v>24</v>
      </c>
      <c r="J12">
        <f t="shared" si="2"/>
        <v>8</v>
      </c>
      <c r="K12">
        <v>25</v>
      </c>
      <c r="L12">
        <f>SUM($K$5:K12)</f>
        <v>85</v>
      </c>
    </row>
    <row r="13" spans="1:12">
      <c r="A13" s="173" t="s">
        <v>378</v>
      </c>
      <c r="B13" s="180"/>
      <c r="C13">
        <f t="shared" si="3"/>
        <v>0</v>
      </c>
      <c r="D13" s="1">
        <f>B13*2%</f>
        <v>0</v>
      </c>
      <c r="F13">
        <f t="shared" si="1"/>
        <v>148</v>
      </c>
      <c r="G13">
        <f t="shared" si="0"/>
        <v>3</v>
      </c>
      <c r="H13">
        <f>SUM($G$5:$G13)</f>
        <v>27</v>
      </c>
      <c r="J13">
        <f t="shared" si="2"/>
        <v>9</v>
      </c>
      <c r="K13">
        <v>30</v>
      </c>
      <c r="L13">
        <f>SUM($K$5:K13)</f>
        <v>115</v>
      </c>
    </row>
    <row r="14" spans="1:12">
      <c r="A14" s="173" t="s">
        <v>584</v>
      </c>
      <c r="B14" s="180"/>
      <c r="C14" s="168">
        <f t="shared" si="3"/>
        <v>0</v>
      </c>
      <c r="D14" s="1">
        <f>B14*2%</f>
        <v>0</v>
      </c>
      <c r="F14">
        <f t="shared" si="1"/>
        <v>149</v>
      </c>
      <c r="G14">
        <f t="shared" si="0"/>
        <v>3</v>
      </c>
      <c r="H14">
        <f>SUM($G$5:$G14)</f>
        <v>30</v>
      </c>
      <c r="J14">
        <f t="shared" si="2"/>
        <v>10</v>
      </c>
      <c r="K14">
        <v>35</v>
      </c>
      <c r="L14">
        <f>SUM($K$5:K14)</f>
        <v>150</v>
      </c>
    </row>
    <row r="15" spans="1:12">
      <c r="A15" t="s">
        <v>379</v>
      </c>
      <c r="B15" s="180">
        <v>8</v>
      </c>
      <c r="C15">
        <f t="shared" ref="C15:C24" si="5">IF(B15=0, 0, VLOOKUP(B15,$J$5:$L$19,3,FALSE))</f>
        <v>85</v>
      </c>
      <c r="D15">
        <f>B15*10</f>
        <v>80</v>
      </c>
      <c r="F15">
        <f t="shared" si="1"/>
        <v>150</v>
      </c>
      <c r="G15">
        <f t="shared" si="0"/>
        <v>4</v>
      </c>
      <c r="H15">
        <f>SUM($G$5:$G15)</f>
        <v>34</v>
      </c>
      <c r="J15">
        <f t="shared" si="2"/>
        <v>11</v>
      </c>
      <c r="K15">
        <v>50</v>
      </c>
      <c r="L15">
        <f>SUM($K$5:K15)</f>
        <v>200</v>
      </c>
    </row>
    <row r="16" spans="1:12">
      <c r="A16" t="s">
        <v>380</v>
      </c>
      <c r="B16" s="180">
        <v>2</v>
      </c>
      <c r="C16">
        <f t="shared" si="5"/>
        <v>3</v>
      </c>
      <c r="D16" s="1">
        <f>IF(B16=0,0,IF(B16&lt;=5,B16*1%,5%+(B16-5)*2%))</f>
        <v>0.02</v>
      </c>
      <c r="F16">
        <f t="shared" si="1"/>
        <v>151</v>
      </c>
      <c r="G16">
        <f t="shared" si="0"/>
        <v>4</v>
      </c>
      <c r="H16">
        <f>SUM($G$5:$G16)</f>
        <v>38</v>
      </c>
      <c r="J16">
        <f t="shared" si="2"/>
        <v>12</v>
      </c>
      <c r="K16">
        <v>65</v>
      </c>
      <c r="L16">
        <f>SUM($K$5:K16)</f>
        <v>265</v>
      </c>
    </row>
    <row r="17" spans="1:12">
      <c r="A17" t="s">
        <v>381</v>
      </c>
      <c r="B17" s="180">
        <v>10</v>
      </c>
      <c r="C17">
        <f t="shared" si="5"/>
        <v>150</v>
      </c>
      <c r="D17" s="1">
        <f>B17*1%</f>
        <v>0.1</v>
      </c>
      <c r="F17">
        <f t="shared" si="1"/>
        <v>152</v>
      </c>
      <c r="G17">
        <f t="shared" si="0"/>
        <v>4</v>
      </c>
      <c r="H17">
        <f>SUM($G$5:$G17)</f>
        <v>42</v>
      </c>
      <c r="J17">
        <f t="shared" si="2"/>
        <v>13</v>
      </c>
      <c r="K17">
        <v>80</v>
      </c>
      <c r="L17">
        <f>SUM($K$5:K17)</f>
        <v>345</v>
      </c>
    </row>
    <row r="18" spans="1:12">
      <c r="A18" t="s">
        <v>382</v>
      </c>
      <c r="B18" s="180">
        <v>10</v>
      </c>
      <c r="C18">
        <f t="shared" si="5"/>
        <v>150</v>
      </c>
      <c r="D18" s="1">
        <f>IF(B18=0, 0, B18*3%)</f>
        <v>0.3</v>
      </c>
      <c r="F18">
        <f t="shared" si="1"/>
        <v>153</v>
      </c>
      <c r="G18">
        <f t="shared" si="0"/>
        <v>4</v>
      </c>
      <c r="H18">
        <f>SUM($G$5:$G18)</f>
        <v>46</v>
      </c>
      <c r="J18">
        <f t="shared" si="2"/>
        <v>14</v>
      </c>
      <c r="K18">
        <v>95</v>
      </c>
      <c r="L18">
        <f>SUM($K$5:K18)</f>
        <v>440</v>
      </c>
    </row>
    <row r="19" spans="1:12">
      <c r="A19" t="s">
        <v>383</v>
      </c>
      <c r="B19" s="180">
        <v>11</v>
      </c>
      <c r="C19">
        <f t="shared" si="5"/>
        <v>200</v>
      </c>
      <c r="D19" s="1">
        <f>IF(B19=0,0,IF(B19&lt;=5,B19*3%,15%+(B19-5)*4%))</f>
        <v>0.39</v>
      </c>
      <c r="F19">
        <f t="shared" si="1"/>
        <v>154</v>
      </c>
      <c r="G19">
        <f t="shared" si="0"/>
        <v>4</v>
      </c>
      <c r="H19">
        <f>SUM($G$5:$G19)</f>
        <v>50</v>
      </c>
      <c r="J19">
        <f t="shared" si="2"/>
        <v>15</v>
      </c>
      <c r="K19">
        <v>110</v>
      </c>
      <c r="L19">
        <f>SUM($K$5:K19)</f>
        <v>550</v>
      </c>
    </row>
    <row r="20" spans="1:12">
      <c r="A20" t="s">
        <v>384</v>
      </c>
      <c r="B20" s="180">
        <v>10</v>
      </c>
      <c r="C20">
        <f t="shared" si="5"/>
        <v>150</v>
      </c>
      <c r="D20" s="1">
        <f>IF(B20=0, 0, B20*3%)</f>
        <v>0.3</v>
      </c>
      <c r="F20">
        <f t="shared" si="1"/>
        <v>155</v>
      </c>
      <c r="G20">
        <f t="shared" si="0"/>
        <v>4</v>
      </c>
      <c r="H20">
        <f>SUM($G$5:$G20)</f>
        <v>54</v>
      </c>
    </row>
    <row r="21" spans="1:12">
      <c r="A21" t="s">
        <v>385</v>
      </c>
      <c r="B21" s="180">
        <v>7</v>
      </c>
      <c r="C21">
        <f t="shared" si="5"/>
        <v>60</v>
      </c>
      <c r="D21">
        <f>B21*3</f>
        <v>21</v>
      </c>
      <c r="F21">
        <f t="shared" si="1"/>
        <v>156</v>
      </c>
      <c r="G21">
        <f t="shared" si="0"/>
        <v>4</v>
      </c>
      <c r="H21">
        <f>SUM($G$5:$G21)</f>
        <v>58</v>
      </c>
    </row>
    <row r="22" spans="1:12">
      <c r="A22" t="s">
        <v>386</v>
      </c>
      <c r="B22" s="180">
        <v>4</v>
      </c>
      <c r="C22">
        <f t="shared" si="5"/>
        <v>15</v>
      </c>
      <c r="D22" s="1">
        <f>B22*0.5%</f>
        <v>0.02</v>
      </c>
      <c r="F22">
        <f t="shared" si="1"/>
        <v>157</v>
      </c>
      <c r="G22">
        <f t="shared" si="0"/>
        <v>4</v>
      </c>
      <c r="H22">
        <f>SUM($G$5:$G22)</f>
        <v>62</v>
      </c>
    </row>
    <row r="23" spans="1:12">
      <c r="A23" t="s">
        <v>387</v>
      </c>
      <c r="B23" s="180">
        <v>4</v>
      </c>
      <c r="C23">
        <f t="shared" si="5"/>
        <v>15</v>
      </c>
      <c r="D23">
        <f>B23*5</f>
        <v>20</v>
      </c>
      <c r="F23">
        <f t="shared" si="1"/>
        <v>158</v>
      </c>
      <c r="G23">
        <f t="shared" si="0"/>
        <v>4</v>
      </c>
      <c r="H23">
        <f>SUM($G$5:$G23)</f>
        <v>66</v>
      </c>
    </row>
    <row r="24" spans="1:12">
      <c r="A24" s="172" t="s">
        <v>585</v>
      </c>
      <c r="B24" s="180"/>
      <c r="C24">
        <f t="shared" si="5"/>
        <v>0</v>
      </c>
      <c r="D24" s="1">
        <f>B24*2%</f>
        <v>0</v>
      </c>
      <c r="F24">
        <f t="shared" si="1"/>
        <v>159</v>
      </c>
      <c r="G24">
        <f t="shared" si="0"/>
        <v>4</v>
      </c>
      <c r="H24">
        <f>SUM($G$5:$G24)</f>
        <v>70</v>
      </c>
    </row>
    <row r="25" spans="1:12">
      <c r="F25">
        <f t="shared" si="1"/>
        <v>160</v>
      </c>
      <c r="G25">
        <f t="shared" si="0"/>
        <v>5</v>
      </c>
      <c r="H25">
        <f>SUM($G$5:$G25)</f>
        <v>75</v>
      </c>
    </row>
    <row r="26" spans="1:12">
      <c r="F26">
        <f t="shared" si="1"/>
        <v>161</v>
      </c>
      <c r="G26">
        <f t="shared" si="0"/>
        <v>5</v>
      </c>
      <c r="H26">
        <f>SUM($G$5:$G26)</f>
        <v>80</v>
      </c>
    </row>
    <row r="27" spans="1:12">
      <c r="F27">
        <f t="shared" si="1"/>
        <v>162</v>
      </c>
      <c r="G27">
        <f t="shared" si="0"/>
        <v>5</v>
      </c>
      <c r="H27">
        <f>SUM($G$5:$G27)</f>
        <v>85</v>
      </c>
    </row>
    <row r="28" spans="1:12">
      <c r="F28">
        <f t="shared" si="1"/>
        <v>163</v>
      </c>
      <c r="G28">
        <f t="shared" si="0"/>
        <v>5</v>
      </c>
      <c r="H28">
        <f>SUM($G$5:$G28)</f>
        <v>90</v>
      </c>
    </row>
    <row r="29" spans="1:12">
      <c r="F29">
        <f t="shared" si="1"/>
        <v>164</v>
      </c>
      <c r="G29">
        <f t="shared" si="0"/>
        <v>5</v>
      </c>
      <c r="H29">
        <f>SUM($G$5:$G29)</f>
        <v>95</v>
      </c>
    </row>
    <row r="30" spans="1:12">
      <c r="F30">
        <f t="shared" si="1"/>
        <v>165</v>
      </c>
      <c r="G30">
        <f t="shared" si="0"/>
        <v>5</v>
      </c>
      <c r="H30">
        <f>SUM($G$5:$G30)</f>
        <v>100</v>
      </c>
    </row>
    <row r="31" spans="1:12">
      <c r="F31">
        <f t="shared" si="1"/>
        <v>166</v>
      </c>
      <c r="G31">
        <f t="shared" si="0"/>
        <v>5</v>
      </c>
      <c r="H31">
        <f>SUM($G$5:$G31)</f>
        <v>105</v>
      </c>
    </row>
    <row r="32" spans="1:12">
      <c r="F32">
        <f t="shared" si="1"/>
        <v>167</v>
      </c>
      <c r="G32">
        <f t="shared" si="0"/>
        <v>5</v>
      </c>
      <c r="H32">
        <f>SUM($G$5:$G32)</f>
        <v>110</v>
      </c>
    </row>
    <row r="33" spans="6:8">
      <c r="F33">
        <f t="shared" si="1"/>
        <v>168</v>
      </c>
      <c r="G33">
        <f t="shared" si="0"/>
        <v>5</v>
      </c>
      <c r="H33">
        <f>SUM($G$5:$G33)</f>
        <v>115</v>
      </c>
    </row>
    <row r="34" spans="6:8">
      <c r="F34">
        <f t="shared" si="1"/>
        <v>169</v>
      </c>
      <c r="G34">
        <f t="shared" si="0"/>
        <v>5</v>
      </c>
      <c r="H34">
        <f>SUM($G$5:$G34)</f>
        <v>120</v>
      </c>
    </row>
    <row r="35" spans="6:8">
      <c r="F35">
        <f t="shared" si="1"/>
        <v>170</v>
      </c>
      <c r="G35">
        <f t="shared" si="0"/>
        <v>6</v>
      </c>
      <c r="H35">
        <f>SUM($G$5:$G35)</f>
        <v>126</v>
      </c>
    </row>
    <row r="36" spans="6:8">
      <c r="F36">
        <f t="shared" si="1"/>
        <v>171</v>
      </c>
      <c r="G36">
        <f t="shared" si="0"/>
        <v>6</v>
      </c>
      <c r="H36">
        <f>SUM($G$5:$G36)</f>
        <v>132</v>
      </c>
    </row>
    <row r="37" spans="6:8">
      <c r="F37">
        <f t="shared" si="1"/>
        <v>172</v>
      </c>
      <c r="G37">
        <f t="shared" si="0"/>
        <v>6</v>
      </c>
      <c r="H37">
        <f>SUM($G$5:$G37)</f>
        <v>138</v>
      </c>
    </row>
    <row r="38" spans="6:8">
      <c r="F38">
        <f t="shared" si="1"/>
        <v>173</v>
      </c>
      <c r="G38">
        <f t="shared" si="0"/>
        <v>6</v>
      </c>
      <c r="H38">
        <f>SUM($G$5:$G38)</f>
        <v>144</v>
      </c>
    </row>
    <row r="39" spans="6:8">
      <c r="F39">
        <f t="shared" si="1"/>
        <v>174</v>
      </c>
      <c r="G39">
        <f t="shared" si="0"/>
        <v>6</v>
      </c>
      <c r="H39">
        <f>SUM($G$5:$G39)</f>
        <v>150</v>
      </c>
    </row>
    <row r="40" spans="6:8">
      <c r="F40">
        <f t="shared" si="1"/>
        <v>175</v>
      </c>
      <c r="G40">
        <f t="shared" si="0"/>
        <v>6</v>
      </c>
      <c r="H40">
        <f>SUM($G$5:$G40)</f>
        <v>156</v>
      </c>
    </row>
    <row r="41" spans="6:8">
      <c r="F41">
        <f t="shared" si="1"/>
        <v>176</v>
      </c>
      <c r="G41">
        <f t="shared" si="0"/>
        <v>6</v>
      </c>
      <c r="H41">
        <f>SUM($G$5:$G41)</f>
        <v>162</v>
      </c>
    </row>
    <row r="42" spans="6:8">
      <c r="F42">
        <f t="shared" si="1"/>
        <v>177</v>
      </c>
      <c r="G42">
        <f t="shared" si="0"/>
        <v>6</v>
      </c>
      <c r="H42">
        <f>SUM($G$5:$G42)</f>
        <v>168</v>
      </c>
    </row>
    <row r="43" spans="6:8">
      <c r="F43">
        <f t="shared" si="1"/>
        <v>178</v>
      </c>
      <c r="G43">
        <f t="shared" si="0"/>
        <v>6</v>
      </c>
      <c r="H43">
        <f>SUM($G$5:$G43)</f>
        <v>174</v>
      </c>
    </row>
    <row r="44" spans="6:8">
      <c r="F44">
        <f t="shared" si="1"/>
        <v>179</v>
      </c>
      <c r="G44">
        <f t="shared" si="0"/>
        <v>6</v>
      </c>
      <c r="H44">
        <f>SUM($G$5:$G44)</f>
        <v>180</v>
      </c>
    </row>
    <row r="45" spans="6:8">
      <c r="F45">
        <f t="shared" si="1"/>
        <v>180</v>
      </c>
      <c r="G45">
        <f t="shared" si="0"/>
        <v>7</v>
      </c>
      <c r="H45">
        <f>SUM($G$5:$G45)</f>
        <v>187</v>
      </c>
    </row>
    <row r="46" spans="6:8">
      <c r="F46">
        <f t="shared" si="1"/>
        <v>181</v>
      </c>
      <c r="G46">
        <f t="shared" si="0"/>
        <v>7</v>
      </c>
      <c r="H46">
        <f>SUM($G$5:$G46)</f>
        <v>194</v>
      </c>
    </row>
    <row r="47" spans="6:8">
      <c r="F47">
        <f t="shared" si="1"/>
        <v>182</v>
      </c>
      <c r="G47">
        <f t="shared" si="0"/>
        <v>7</v>
      </c>
      <c r="H47">
        <f>SUM($G$5:$G47)</f>
        <v>201</v>
      </c>
    </row>
    <row r="48" spans="6:8">
      <c r="F48">
        <f t="shared" si="1"/>
        <v>183</v>
      </c>
      <c r="G48">
        <f t="shared" si="0"/>
        <v>7</v>
      </c>
      <c r="H48">
        <f>SUM($G$5:$G48)</f>
        <v>208</v>
      </c>
    </row>
    <row r="49" spans="6:8">
      <c r="F49">
        <f t="shared" si="1"/>
        <v>184</v>
      </c>
      <c r="G49">
        <f t="shared" si="0"/>
        <v>7</v>
      </c>
      <c r="H49">
        <f>SUM($G$5:$G49)</f>
        <v>215</v>
      </c>
    </row>
    <row r="50" spans="6:8">
      <c r="F50">
        <f t="shared" si="1"/>
        <v>185</v>
      </c>
      <c r="G50">
        <f t="shared" si="0"/>
        <v>7</v>
      </c>
      <c r="H50">
        <f>SUM($G$5:$G50)</f>
        <v>222</v>
      </c>
    </row>
    <row r="51" spans="6:8">
      <c r="F51">
        <f t="shared" si="1"/>
        <v>186</v>
      </c>
      <c r="G51">
        <f t="shared" si="0"/>
        <v>7</v>
      </c>
      <c r="H51">
        <f>SUM($G$5:$G51)</f>
        <v>229</v>
      </c>
    </row>
    <row r="52" spans="6:8">
      <c r="F52">
        <f t="shared" si="1"/>
        <v>187</v>
      </c>
      <c r="G52">
        <f t="shared" si="0"/>
        <v>7</v>
      </c>
      <c r="H52">
        <f>SUM($G$5:$G52)</f>
        <v>236</v>
      </c>
    </row>
    <row r="53" spans="6:8">
      <c r="F53">
        <f t="shared" si="1"/>
        <v>188</v>
      </c>
      <c r="G53">
        <f t="shared" si="0"/>
        <v>7</v>
      </c>
      <c r="H53">
        <f>SUM($G$5:$G53)</f>
        <v>243</v>
      </c>
    </row>
    <row r="54" spans="6:8">
      <c r="F54">
        <f t="shared" si="1"/>
        <v>189</v>
      </c>
      <c r="G54">
        <f t="shared" si="0"/>
        <v>7</v>
      </c>
      <c r="H54">
        <f>SUM($G$5:$G54)</f>
        <v>250</v>
      </c>
    </row>
    <row r="55" spans="6:8">
      <c r="F55">
        <f t="shared" si="1"/>
        <v>190</v>
      </c>
      <c r="G55">
        <f t="shared" si="0"/>
        <v>8</v>
      </c>
      <c r="H55">
        <f>SUM($G$5:$G55)</f>
        <v>258</v>
      </c>
    </row>
    <row r="56" spans="6:8">
      <c r="F56">
        <f t="shared" si="1"/>
        <v>191</v>
      </c>
      <c r="G56">
        <f t="shared" si="0"/>
        <v>8</v>
      </c>
      <c r="H56">
        <f>SUM($G$5:$G56)</f>
        <v>266</v>
      </c>
    </row>
    <row r="57" spans="6:8">
      <c r="F57">
        <f t="shared" si="1"/>
        <v>192</v>
      </c>
      <c r="G57">
        <f t="shared" si="0"/>
        <v>8</v>
      </c>
      <c r="H57">
        <f>SUM($G$5:$G57)</f>
        <v>274</v>
      </c>
    </row>
    <row r="58" spans="6:8">
      <c r="F58">
        <f t="shared" si="1"/>
        <v>193</v>
      </c>
      <c r="G58">
        <f t="shared" si="0"/>
        <v>8</v>
      </c>
      <c r="H58">
        <f>SUM($G$5:$G58)</f>
        <v>282</v>
      </c>
    </row>
    <row r="59" spans="6:8">
      <c r="F59">
        <f t="shared" si="1"/>
        <v>194</v>
      </c>
      <c r="G59">
        <f t="shared" si="0"/>
        <v>8</v>
      </c>
      <c r="H59">
        <f>SUM($G$5:$G59)</f>
        <v>290</v>
      </c>
    </row>
    <row r="60" spans="6:8">
      <c r="F60">
        <f t="shared" si="1"/>
        <v>195</v>
      </c>
      <c r="G60">
        <f t="shared" si="0"/>
        <v>8</v>
      </c>
      <c r="H60">
        <f>SUM($G$5:$G60)</f>
        <v>298</v>
      </c>
    </row>
    <row r="61" spans="6:8">
      <c r="F61">
        <f t="shared" si="1"/>
        <v>196</v>
      </c>
      <c r="G61">
        <f t="shared" si="0"/>
        <v>8</v>
      </c>
      <c r="H61">
        <f>SUM($G$5:$G61)</f>
        <v>306</v>
      </c>
    </row>
    <row r="62" spans="6:8">
      <c r="F62">
        <f t="shared" si="1"/>
        <v>197</v>
      </c>
      <c r="G62">
        <f t="shared" si="0"/>
        <v>8</v>
      </c>
      <c r="H62">
        <f>SUM($G$5:$G62)</f>
        <v>314</v>
      </c>
    </row>
    <row r="63" spans="6:8">
      <c r="F63">
        <f t="shared" si="1"/>
        <v>198</v>
      </c>
      <c r="G63">
        <f t="shared" si="0"/>
        <v>8</v>
      </c>
      <c r="H63">
        <f>SUM($G$5:$G63)</f>
        <v>322</v>
      </c>
    </row>
    <row r="64" spans="6:8">
      <c r="F64">
        <f t="shared" si="1"/>
        <v>199</v>
      </c>
      <c r="G64">
        <f t="shared" si="0"/>
        <v>8</v>
      </c>
      <c r="H64">
        <f>SUM($G$5:$G64)</f>
        <v>330</v>
      </c>
    </row>
    <row r="65" spans="6:8">
      <c r="F65">
        <f t="shared" si="1"/>
        <v>200</v>
      </c>
      <c r="G65">
        <f t="shared" si="0"/>
        <v>9</v>
      </c>
      <c r="H65">
        <f>SUM($G$5:$G65)</f>
        <v>339</v>
      </c>
    </row>
    <row r="66" spans="6:8">
      <c r="F66">
        <f t="shared" si="1"/>
        <v>201</v>
      </c>
      <c r="G66">
        <f t="shared" si="0"/>
        <v>9</v>
      </c>
      <c r="H66">
        <f>SUM($G$5:$G66)</f>
        <v>348</v>
      </c>
    </row>
    <row r="67" spans="6:8">
      <c r="F67">
        <f t="shared" si="1"/>
        <v>202</v>
      </c>
      <c r="G67">
        <f t="shared" si="0"/>
        <v>9</v>
      </c>
      <c r="H67">
        <f>SUM($G$5:$G67)</f>
        <v>357</v>
      </c>
    </row>
    <row r="68" spans="6:8">
      <c r="F68">
        <f t="shared" si="1"/>
        <v>203</v>
      </c>
      <c r="G68">
        <f t="shared" si="0"/>
        <v>9</v>
      </c>
      <c r="H68">
        <f>SUM($G$5:$G68)</f>
        <v>366</v>
      </c>
    </row>
    <row r="69" spans="6:8">
      <c r="F69">
        <f t="shared" si="1"/>
        <v>204</v>
      </c>
      <c r="G69">
        <f t="shared" si="0"/>
        <v>9</v>
      </c>
      <c r="H69">
        <f>SUM($G$5:$G69)</f>
        <v>375</v>
      </c>
    </row>
    <row r="70" spans="6:8">
      <c r="F70">
        <f t="shared" si="1"/>
        <v>205</v>
      </c>
      <c r="G70">
        <f t="shared" ref="G70:G133" si="6">INT(F70/10)-11</f>
        <v>9</v>
      </c>
      <c r="H70">
        <f>SUM($G$5:$G70)</f>
        <v>384</v>
      </c>
    </row>
    <row r="71" spans="6:8">
      <c r="F71">
        <f t="shared" ref="F71:F134" si="7">F70+1</f>
        <v>206</v>
      </c>
      <c r="G71">
        <f t="shared" si="6"/>
        <v>9</v>
      </c>
      <c r="H71">
        <f>SUM($G$5:$G71)</f>
        <v>393</v>
      </c>
    </row>
    <row r="72" spans="6:8">
      <c r="F72">
        <f t="shared" si="7"/>
        <v>207</v>
      </c>
      <c r="G72">
        <f t="shared" si="6"/>
        <v>9</v>
      </c>
      <c r="H72">
        <f>SUM($G$5:$G72)</f>
        <v>402</v>
      </c>
    </row>
    <row r="73" spans="6:8">
      <c r="F73">
        <f t="shared" si="7"/>
        <v>208</v>
      </c>
      <c r="G73">
        <f t="shared" si="6"/>
        <v>9</v>
      </c>
      <c r="H73">
        <f>SUM($G$5:$G73)</f>
        <v>411</v>
      </c>
    </row>
    <row r="74" spans="6:8">
      <c r="F74">
        <f t="shared" si="7"/>
        <v>209</v>
      </c>
      <c r="G74">
        <f t="shared" si="6"/>
        <v>9</v>
      </c>
      <c r="H74">
        <f>SUM($G$5:$G74)</f>
        <v>420</v>
      </c>
    </row>
    <row r="75" spans="6:8">
      <c r="F75">
        <f t="shared" si="7"/>
        <v>210</v>
      </c>
      <c r="G75">
        <f t="shared" si="6"/>
        <v>10</v>
      </c>
      <c r="H75">
        <f>SUM($G$5:$G75)</f>
        <v>430</v>
      </c>
    </row>
    <row r="76" spans="6:8">
      <c r="F76">
        <f t="shared" si="7"/>
        <v>211</v>
      </c>
      <c r="G76">
        <f t="shared" si="6"/>
        <v>10</v>
      </c>
      <c r="H76">
        <f>SUM($G$5:$G76)</f>
        <v>440</v>
      </c>
    </row>
    <row r="77" spans="6:8">
      <c r="F77">
        <f t="shared" si="7"/>
        <v>212</v>
      </c>
      <c r="G77">
        <f t="shared" si="6"/>
        <v>10</v>
      </c>
      <c r="H77">
        <f>SUM($G$5:$G77)</f>
        <v>450</v>
      </c>
    </row>
    <row r="78" spans="6:8">
      <c r="F78">
        <f t="shared" si="7"/>
        <v>213</v>
      </c>
      <c r="G78">
        <f t="shared" si="6"/>
        <v>10</v>
      </c>
      <c r="H78">
        <f>SUM($G$5:$G78)</f>
        <v>460</v>
      </c>
    </row>
    <row r="79" spans="6:8">
      <c r="F79">
        <f t="shared" si="7"/>
        <v>214</v>
      </c>
      <c r="G79">
        <f t="shared" si="6"/>
        <v>10</v>
      </c>
      <c r="H79">
        <f>SUM($G$5:$G79)</f>
        <v>470</v>
      </c>
    </row>
    <row r="80" spans="6:8">
      <c r="F80">
        <f t="shared" si="7"/>
        <v>215</v>
      </c>
      <c r="G80">
        <f t="shared" si="6"/>
        <v>10</v>
      </c>
      <c r="H80">
        <f>SUM($G$5:$G80)</f>
        <v>480</v>
      </c>
    </row>
    <row r="81" spans="6:8">
      <c r="F81">
        <f t="shared" si="7"/>
        <v>216</v>
      </c>
      <c r="G81">
        <f t="shared" si="6"/>
        <v>10</v>
      </c>
      <c r="H81">
        <f>SUM($G$5:$G81)</f>
        <v>490</v>
      </c>
    </row>
    <row r="82" spans="6:8">
      <c r="F82">
        <f t="shared" si="7"/>
        <v>217</v>
      </c>
      <c r="G82">
        <f t="shared" si="6"/>
        <v>10</v>
      </c>
      <c r="H82">
        <f>SUM($G$5:$G82)</f>
        <v>500</v>
      </c>
    </row>
    <row r="83" spans="6:8">
      <c r="F83">
        <f t="shared" si="7"/>
        <v>218</v>
      </c>
      <c r="G83">
        <f t="shared" si="6"/>
        <v>10</v>
      </c>
      <c r="H83">
        <f>SUM($G$5:$G83)</f>
        <v>510</v>
      </c>
    </row>
    <row r="84" spans="6:8">
      <c r="F84">
        <f t="shared" si="7"/>
        <v>219</v>
      </c>
      <c r="G84">
        <f t="shared" si="6"/>
        <v>10</v>
      </c>
      <c r="H84">
        <f>SUM($G$5:$G84)</f>
        <v>520</v>
      </c>
    </row>
    <row r="85" spans="6:8">
      <c r="F85">
        <f t="shared" si="7"/>
        <v>220</v>
      </c>
      <c r="G85">
        <f t="shared" si="6"/>
        <v>11</v>
      </c>
      <c r="H85">
        <f>SUM($G$5:$G85)</f>
        <v>531</v>
      </c>
    </row>
    <row r="86" spans="6:8">
      <c r="F86">
        <f t="shared" si="7"/>
        <v>221</v>
      </c>
      <c r="G86">
        <f t="shared" si="6"/>
        <v>11</v>
      </c>
      <c r="H86">
        <f>SUM($G$5:$G86)</f>
        <v>542</v>
      </c>
    </row>
    <row r="87" spans="6:8">
      <c r="F87">
        <f t="shared" si="7"/>
        <v>222</v>
      </c>
      <c r="G87">
        <f t="shared" si="6"/>
        <v>11</v>
      </c>
      <c r="H87">
        <f>SUM($G$5:$G87)</f>
        <v>553</v>
      </c>
    </row>
    <row r="88" spans="6:8">
      <c r="F88">
        <f t="shared" si="7"/>
        <v>223</v>
      </c>
      <c r="G88">
        <f t="shared" si="6"/>
        <v>11</v>
      </c>
      <c r="H88">
        <f>SUM($G$5:$G88)</f>
        <v>564</v>
      </c>
    </row>
    <row r="89" spans="6:8">
      <c r="F89">
        <f t="shared" si="7"/>
        <v>224</v>
      </c>
      <c r="G89">
        <f t="shared" si="6"/>
        <v>11</v>
      </c>
      <c r="H89">
        <f>SUM($G$5:$G89)</f>
        <v>575</v>
      </c>
    </row>
    <row r="90" spans="6:8">
      <c r="F90">
        <f t="shared" si="7"/>
        <v>225</v>
      </c>
      <c r="G90">
        <f t="shared" si="6"/>
        <v>11</v>
      </c>
      <c r="H90">
        <f>SUM($G$5:$G90)</f>
        <v>586</v>
      </c>
    </row>
    <row r="91" spans="6:8">
      <c r="F91">
        <f t="shared" si="7"/>
        <v>226</v>
      </c>
      <c r="G91">
        <f t="shared" si="6"/>
        <v>11</v>
      </c>
      <c r="H91">
        <f>SUM($G$5:$G91)</f>
        <v>597</v>
      </c>
    </row>
    <row r="92" spans="6:8">
      <c r="F92">
        <f t="shared" si="7"/>
        <v>227</v>
      </c>
      <c r="G92">
        <f t="shared" si="6"/>
        <v>11</v>
      </c>
      <c r="H92">
        <f>SUM($G$5:$G92)</f>
        <v>608</v>
      </c>
    </row>
    <row r="93" spans="6:8">
      <c r="F93">
        <f t="shared" si="7"/>
        <v>228</v>
      </c>
      <c r="G93">
        <f t="shared" si="6"/>
        <v>11</v>
      </c>
      <c r="H93">
        <f>SUM($G$5:$G93)</f>
        <v>619</v>
      </c>
    </row>
    <row r="94" spans="6:8">
      <c r="F94">
        <f t="shared" si="7"/>
        <v>229</v>
      </c>
      <c r="G94">
        <f t="shared" si="6"/>
        <v>11</v>
      </c>
      <c r="H94">
        <f>SUM($G$5:$G94)</f>
        <v>630</v>
      </c>
    </row>
    <row r="95" spans="6:8">
      <c r="F95">
        <f t="shared" si="7"/>
        <v>230</v>
      </c>
      <c r="G95">
        <f t="shared" si="6"/>
        <v>12</v>
      </c>
      <c r="H95">
        <f>SUM($G$5:$G95)</f>
        <v>642</v>
      </c>
    </row>
    <row r="96" spans="6:8">
      <c r="F96">
        <f t="shared" si="7"/>
        <v>231</v>
      </c>
      <c r="G96">
        <f t="shared" si="6"/>
        <v>12</v>
      </c>
      <c r="H96">
        <f>SUM($G$5:$G96)</f>
        <v>654</v>
      </c>
    </row>
    <row r="97" spans="6:8">
      <c r="F97">
        <f t="shared" si="7"/>
        <v>232</v>
      </c>
      <c r="G97">
        <f t="shared" si="6"/>
        <v>12</v>
      </c>
      <c r="H97">
        <f>SUM($G$5:$G97)</f>
        <v>666</v>
      </c>
    </row>
    <row r="98" spans="6:8">
      <c r="F98">
        <f t="shared" si="7"/>
        <v>233</v>
      </c>
      <c r="G98">
        <f t="shared" si="6"/>
        <v>12</v>
      </c>
      <c r="H98">
        <f>SUM($G$5:$G98)</f>
        <v>678</v>
      </c>
    </row>
    <row r="99" spans="6:8">
      <c r="F99">
        <f t="shared" si="7"/>
        <v>234</v>
      </c>
      <c r="G99">
        <f t="shared" si="6"/>
        <v>12</v>
      </c>
      <c r="H99">
        <f>SUM($G$5:$G99)</f>
        <v>690</v>
      </c>
    </row>
    <row r="100" spans="6:8">
      <c r="F100">
        <f t="shared" si="7"/>
        <v>235</v>
      </c>
      <c r="G100">
        <f t="shared" si="6"/>
        <v>12</v>
      </c>
      <c r="H100">
        <f>SUM($G$5:$G100)</f>
        <v>702</v>
      </c>
    </row>
    <row r="101" spans="6:8">
      <c r="F101">
        <f t="shared" si="7"/>
        <v>236</v>
      </c>
      <c r="G101">
        <f t="shared" si="6"/>
        <v>12</v>
      </c>
      <c r="H101">
        <f>SUM($G$5:$G101)</f>
        <v>714</v>
      </c>
    </row>
    <row r="102" spans="6:8">
      <c r="F102">
        <f t="shared" si="7"/>
        <v>237</v>
      </c>
      <c r="G102">
        <f t="shared" si="6"/>
        <v>12</v>
      </c>
      <c r="H102">
        <f>SUM($G$5:$G102)</f>
        <v>726</v>
      </c>
    </row>
    <row r="103" spans="6:8">
      <c r="F103">
        <f t="shared" si="7"/>
        <v>238</v>
      </c>
      <c r="G103">
        <f t="shared" si="6"/>
        <v>12</v>
      </c>
      <c r="H103">
        <f>SUM($G$5:$G103)</f>
        <v>738</v>
      </c>
    </row>
    <row r="104" spans="6:8">
      <c r="F104">
        <f t="shared" si="7"/>
        <v>239</v>
      </c>
      <c r="G104">
        <f t="shared" si="6"/>
        <v>12</v>
      </c>
      <c r="H104">
        <f>SUM($G$5:$G104)</f>
        <v>750</v>
      </c>
    </row>
    <row r="105" spans="6:8">
      <c r="F105">
        <f t="shared" si="7"/>
        <v>240</v>
      </c>
      <c r="G105">
        <f t="shared" si="6"/>
        <v>13</v>
      </c>
      <c r="H105">
        <f>SUM($G$5:$G105)</f>
        <v>763</v>
      </c>
    </row>
    <row r="106" spans="6:8">
      <c r="F106">
        <f t="shared" si="7"/>
        <v>241</v>
      </c>
      <c r="G106">
        <f t="shared" si="6"/>
        <v>13</v>
      </c>
      <c r="H106">
        <f>SUM($G$5:$G106)</f>
        <v>776</v>
      </c>
    </row>
    <row r="107" spans="6:8">
      <c r="F107">
        <f t="shared" si="7"/>
        <v>242</v>
      </c>
      <c r="G107">
        <f t="shared" si="6"/>
        <v>13</v>
      </c>
      <c r="H107">
        <f>SUM($G$5:$G107)</f>
        <v>789</v>
      </c>
    </row>
    <row r="108" spans="6:8">
      <c r="F108">
        <f t="shared" si="7"/>
        <v>243</v>
      </c>
      <c r="G108">
        <f t="shared" si="6"/>
        <v>13</v>
      </c>
      <c r="H108">
        <f>SUM($G$5:$G108)</f>
        <v>802</v>
      </c>
    </row>
    <row r="109" spans="6:8">
      <c r="F109">
        <f t="shared" si="7"/>
        <v>244</v>
      </c>
      <c r="G109">
        <f t="shared" si="6"/>
        <v>13</v>
      </c>
      <c r="H109">
        <f>SUM($G$5:$G109)</f>
        <v>815</v>
      </c>
    </row>
    <row r="110" spans="6:8">
      <c r="F110">
        <f t="shared" si="7"/>
        <v>245</v>
      </c>
      <c r="G110">
        <f t="shared" si="6"/>
        <v>13</v>
      </c>
      <c r="H110">
        <f>SUM($G$5:$G110)</f>
        <v>828</v>
      </c>
    </row>
    <row r="111" spans="6:8">
      <c r="F111">
        <f t="shared" si="7"/>
        <v>246</v>
      </c>
      <c r="G111">
        <f t="shared" si="6"/>
        <v>13</v>
      </c>
      <c r="H111">
        <f>SUM($G$5:$G111)</f>
        <v>841</v>
      </c>
    </row>
    <row r="112" spans="6:8">
      <c r="F112">
        <f t="shared" si="7"/>
        <v>247</v>
      </c>
      <c r="G112">
        <f t="shared" si="6"/>
        <v>13</v>
      </c>
      <c r="H112">
        <f>SUM($G$5:$G112)</f>
        <v>854</v>
      </c>
    </row>
    <row r="113" spans="6:8">
      <c r="F113">
        <f t="shared" si="7"/>
        <v>248</v>
      </c>
      <c r="G113">
        <f t="shared" si="6"/>
        <v>13</v>
      </c>
      <c r="H113">
        <f>SUM($G$5:$G113)</f>
        <v>867</v>
      </c>
    </row>
    <row r="114" spans="6:8">
      <c r="F114">
        <f t="shared" si="7"/>
        <v>249</v>
      </c>
      <c r="G114">
        <f t="shared" si="6"/>
        <v>13</v>
      </c>
      <c r="H114">
        <f>SUM($G$5:$G114)</f>
        <v>880</v>
      </c>
    </row>
    <row r="115" spans="6:8">
      <c r="F115">
        <f t="shared" si="7"/>
        <v>250</v>
      </c>
      <c r="G115">
        <f t="shared" si="6"/>
        <v>14</v>
      </c>
      <c r="H115">
        <f>SUM($G$5:$G115)</f>
        <v>894</v>
      </c>
    </row>
    <row r="116" spans="6:8">
      <c r="F116">
        <f t="shared" si="7"/>
        <v>251</v>
      </c>
      <c r="G116">
        <f t="shared" si="6"/>
        <v>14</v>
      </c>
      <c r="H116">
        <f>SUM($G$5:$G116)</f>
        <v>908</v>
      </c>
    </row>
    <row r="117" spans="6:8">
      <c r="F117">
        <f t="shared" si="7"/>
        <v>252</v>
      </c>
      <c r="G117">
        <f t="shared" si="6"/>
        <v>14</v>
      </c>
      <c r="H117">
        <f>SUM($G$5:$G117)</f>
        <v>922</v>
      </c>
    </row>
    <row r="118" spans="6:8">
      <c r="F118">
        <f t="shared" si="7"/>
        <v>253</v>
      </c>
      <c r="G118">
        <f t="shared" si="6"/>
        <v>14</v>
      </c>
      <c r="H118">
        <f>SUM($G$5:$G118)</f>
        <v>936</v>
      </c>
    </row>
    <row r="119" spans="6:8">
      <c r="F119">
        <f t="shared" si="7"/>
        <v>254</v>
      </c>
      <c r="G119">
        <f t="shared" si="6"/>
        <v>14</v>
      </c>
      <c r="H119">
        <f>SUM($G$5:$G119)</f>
        <v>950</v>
      </c>
    </row>
    <row r="120" spans="6:8">
      <c r="F120">
        <f t="shared" si="7"/>
        <v>255</v>
      </c>
      <c r="G120">
        <f t="shared" si="6"/>
        <v>14</v>
      </c>
      <c r="H120">
        <f>SUM($G$5:$G120)</f>
        <v>964</v>
      </c>
    </row>
    <row r="121" spans="6:8">
      <c r="F121">
        <f t="shared" si="7"/>
        <v>256</v>
      </c>
      <c r="G121">
        <f t="shared" si="6"/>
        <v>14</v>
      </c>
      <c r="H121">
        <f>SUM($G$5:$G121)</f>
        <v>978</v>
      </c>
    </row>
    <row r="122" spans="6:8">
      <c r="F122">
        <f t="shared" si="7"/>
        <v>257</v>
      </c>
      <c r="G122">
        <f t="shared" si="6"/>
        <v>14</v>
      </c>
      <c r="H122">
        <f>SUM($G$5:$G122)</f>
        <v>992</v>
      </c>
    </row>
    <row r="123" spans="6:8">
      <c r="F123">
        <f t="shared" si="7"/>
        <v>258</v>
      </c>
      <c r="G123">
        <f t="shared" si="6"/>
        <v>14</v>
      </c>
      <c r="H123">
        <f>SUM($G$5:$G123)</f>
        <v>1006</v>
      </c>
    </row>
    <row r="124" spans="6:8">
      <c r="F124">
        <f t="shared" si="7"/>
        <v>259</v>
      </c>
      <c r="G124">
        <f t="shared" si="6"/>
        <v>14</v>
      </c>
      <c r="H124">
        <f>SUM($G$5:$G124)</f>
        <v>1020</v>
      </c>
    </row>
    <row r="125" spans="6:8">
      <c r="F125">
        <f t="shared" si="7"/>
        <v>260</v>
      </c>
      <c r="G125">
        <f t="shared" si="6"/>
        <v>15</v>
      </c>
      <c r="H125">
        <f>SUM($G$5:$G125)</f>
        <v>1035</v>
      </c>
    </row>
    <row r="126" spans="6:8">
      <c r="F126">
        <f t="shared" si="7"/>
        <v>261</v>
      </c>
      <c r="G126">
        <f t="shared" si="6"/>
        <v>15</v>
      </c>
      <c r="H126">
        <f>SUM($G$5:$G126)</f>
        <v>1050</v>
      </c>
    </row>
    <row r="127" spans="6:8">
      <c r="F127">
        <f t="shared" si="7"/>
        <v>262</v>
      </c>
      <c r="G127">
        <f t="shared" si="6"/>
        <v>15</v>
      </c>
      <c r="H127">
        <f>SUM($G$5:$G127)</f>
        <v>1065</v>
      </c>
    </row>
    <row r="128" spans="6:8">
      <c r="F128">
        <f t="shared" si="7"/>
        <v>263</v>
      </c>
      <c r="G128">
        <f t="shared" si="6"/>
        <v>15</v>
      </c>
      <c r="H128">
        <f>SUM($G$5:$G128)</f>
        <v>1080</v>
      </c>
    </row>
    <row r="129" spans="6:8">
      <c r="F129">
        <f t="shared" si="7"/>
        <v>264</v>
      </c>
      <c r="G129">
        <f t="shared" si="6"/>
        <v>15</v>
      </c>
      <c r="H129">
        <f>SUM($G$5:$G129)</f>
        <v>1095</v>
      </c>
    </row>
    <row r="130" spans="6:8">
      <c r="F130">
        <f t="shared" si="7"/>
        <v>265</v>
      </c>
      <c r="G130">
        <f t="shared" si="6"/>
        <v>15</v>
      </c>
      <c r="H130">
        <f>SUM($G$5:$G130)</f>
        <v>1110</v>
      </c>
    </row>
    <row r="131" spans="6:8">
      <c r="F131">
        <f t="shared" si="7"/>
        <v>266</v>
      </c>
      <c r="G131">
        <f t="shared" si="6"/>
        <v>15</v>
      </c>
      <c r="H131">
        <f>SUM($G$5:$G131)</f>
        <v>1125</v>
      </c>
    </row>
    <row r="132" spans="6:8">
      <c r="F132">
        <f t="shared" si="7"/>
        <v>267</v>
      </c>
      <c r="G132">
        <f t="shared" si="6"/>
        <v>15</v>
      </c>
      <c r="H132">
        <f>SUM($G$5:$G132)</f>
        <v>1140</v>
      </c>
    </row>
    <row r="133" spans="6:8">
      <c r="F133">
        <f t="shared" si="7"/>
        <v>268</v>
      </c>
      <c r="G133">
        <f t="shared" si="6"/>
        <v>15</v>
      </c>
      <c r="H133">
        <f>SUM($G$5:$G133)</f>
        <v>1155</v>
      </c>
    </row>
    <row r="134" spans="6:8">
      <c r="F134">
        <f t="shared" si="7"/>
        <v>269</v>
      </c>
      <c r="G134">
        <f t="shared" ref="G134:G140" si="8">INT(F134/10)-11</f>
        <v>15</v>
      </c>
      <c r="H134">
        <f>SUM($G$5:$G134)</f>
        <v>1170</v>
      </c>
    </row>
    <row r="135" spans="6:8">
      <c r="F135">
        <f t="shared" ref="F135:F140" si="9">F134+1</f>
        <v>270</v>
      </c>
      <c r="G135">
        <f t="shared" si="8"/>
        <v>16</v>
      </c>
      <c r="H135">
        <f>SUM($G$5:$G135)</f>
        <v>1186</v>
      </c>
    </row>
    <row r="136" spans="6:8">
      <c r="F136">
        <f t="shared" si="9"/>
        <v>271</v>
      </c>
      <c r="G136">
        <f t="shared" si="8"/>
        <v>16</v>
      </c>
      <c r="H136">
        <f>SUM($G$5:$G136)</f>
        <v>1202</v>
      </c>
    </row>
    <row r="137" spans="6:8">
      <c r="F137">
        <f t="shared" si="9"/>
        <v>272</v>
      </c>
      <c r="G137">
        <f t="shared" si="8"/>
        <v>16</v>
      </c>
      <c r="H137">
        <f>SUM($G$5:$G137)</f>
        <v>1218</v>
      </c>
    </row>
    <row r="138" spans="6:8">
      <c r="F138">
        <f t="shared" si="9"/>
        <v>273</v>
      </c>
      <c r="G138">
        <f t="shared" si="8"/>
        <v>16</v>
      </c>
      <c r="H138">
        <f>SUM($G$5:$G138)</f>
        <v>1234</v>
      </c>
    </row>
    <row r="139" spans="6:8">
      <c r="F139">
        <f t="shared" si="9"/>
        <v>274</v>
      </c>
      <c r="G139">
        <f t="shared" si="8"/>
        <v>16</v>
      </c>
      <c r="H139">
        <f>SUM($G$5:$G139)</f>
        <v>1250</v>
      </c>
    </row>
    <row r="140" spans="6:8">
      <c r="F140">
        <f t="shared" si="9"/>
        <v>275</v>
      </c>
      <c r="G140">
        <f t="shared" si="8"/>
        <v>16</v>
      </c>
      <c r="H140">
        <f>SUM($G$5:$G140)</f>
        <v>1266</v>
      </c>
    </row>
  </sheetData>
  <sheetProtection algorithmName="SHA-512" hashValue="YZTtqBILKJRQxR8i8l/ulJD9KbhYCpyxom0JSq5EmROCLjPV5PKfVqtw+HmyFET5APHabepjanXtJ6xLCizx8Q==" saltValue="lro7dYGfsYb06SJOHjZZOQ==" spinCount="100000" sheet="1" selectLockedCells="1"/>
  <mergeCells count="1">
    <mergeCell ref="A1:B1"/>
  </mergeCells>
  <phoneticPr fontId="4" type="noConversion"/>
  <pageMargins left="0.7" right="0.7" top="0.75" bottom="0.75" header="0.3" footer="0.3"/>
  <pageSetup paperSize="9" orientation="portrait" r:id="rId1"/>
  <ignoredErrors>
    <ignoredError sqref="L6:L18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72E11-0821-4BE5-96AC-52E11155F579}">
  <dimension ref="A1:N43"/>
  <sheetViews>
    <sheetView workbookViewId="0">
      <selection activeCell="B2" sqref="B2"/>
    </sheetView>
  </sheetViews>
  <sheetFormatPr defaultRowHeight="17.399999999999999"/>
  <cols>
    <col min="3" max="4" width="11.5" bestFit="1" customWidth="1"/>
    <col min="8" max="8" width="9.5" customWidth="1"/>
  </cols>
  <sheetData>
    <row r="1" spans="1:14">
      <c r="B1" t="s">
        <v>388</v>
      </c>
      <c r="C1" t="s">
        <v>389</v>
      </c>
      <c r="D1" t="s">
        <v>390</v>
      </c>
      <c r="E1" t="s">
        <v>391</v>
      </c>
      <c r="H1" t="s">
        <v>603</v>
      </c>
    </row>
    <row r="2" spans="1:14">
      <c r="B2" s="180">
        <v>283</v>
      </c>
      <c r="C2" s="180">
        <v>136</v>
      </c>
      <c r="D2" s="180">
        <v>81</v>
      </c>
      <c r="E2" s="180">
        <v>200</v>
      </c>
      <c r="H2" t="s">
        <v>391</v>
      </c>
      <c r="I2" t="s">
        <v>604</v>
      </c>
      <c r="J2" t="s">
        <v>605</v>
      </c>
      <c r="K2" t="s">
        <v>606</v>
      </c>
      <c r="L2" t="s">
        <v>607</v>
      </c>
      <c r="M2" t="s">
        <v>608</v>
      </c>
    </row>
    <row r="3" spans="1:14">
      <c r="B3" t="s">
        <v>392</v>
      </c>
      <c r="C3" t="s">
        <v>393</v>
      </c>
      <c r="D3" t="s">
        <v>394</v>
      </c>
      <c r="H3">
        <v>150</v>
      </c>
      <c r="I3">
        <v>20</v>
      </c>
      <c r="J3">
        <v>29</v>
      </c>
      <c r="K3">
        <v>40</v>
      </c>
      <c r="L3">
        <v>53</v>
      </c>
      <c r="M3">
        <v>68</v>
      </c>
    </row>
    <row r="4" spans="1:14">
      <c r="A4" t="s">
        <v>395</v>
      </c>
      <c r="B4" s="28" t="s">
        <v>142</v>
      </c>
      <c r="C4">
        <f>B2+D2</f>
        <v>364</v>
      </c>
      <c r="D4">
        <f>C4+$C$2</f>
        <v>500</v>
      </c>
      <c r="H4">
        <v>160</v>
      </c>
      <c r="I4">
        <v>30</v>
      </c>
      <c r="J4">
        <v>44</v>
      </c>
      <c r="K4">
        <v>60</v>
      </c>
      <c r="L4">
        <v>79</v>
      </c>
      <c r="M4">
        <v>101</v>
      </c>
    </row>
    <row r="5" spans="1:14">
      <c r="A5" t="s">
        <v>396</v>
      </c>
      <c r="B5">
        <f>INT(C4/50)+1</f>
        <v>8</v>
      </c>
      <c r="C5">
        <f>C4+B5</f>
        <v>372</v>
      </c>
      <c r="D5">
        <f t="shared" ref="D5:D29" si="0">C5+$C$2</f>
        <v>508</v>
      </c>
      <c r="H5">
        <v>200</v>
      </c>
      <c r="I5">
        <v>51</v>
      </c>
      <c r="J5">
        <v>75</v>
      </c>
      <c r="K5">
        <v>103</v>
      </c>
      <c r="L5">
        <v>136</v>
      </c>
      <c r="M5">
        <v>175</v>
      </c>
    </row>
    <row r="6" spans="1:14">
      <c r="A6" t="s">
        <v>397</v>
      </c>
      <c r="B6">
        <f t="shared" ref="B6:B19" si="1">INT(C5/50)+1</f>
        <v>8</v>
      </c>
      <c r="C6">
        <f t="shared" ref="C6:C29" si="2">C5+B6</f>
        <v>380</v>
      </c>
      <c r="D6">
        <f t="shared" si="0"/>
        <v>516</v>
      </c>
    </row>
    <row r="7" spans="1:14">
      <c r="A7" t="s">
        <v>398</v>
      </c>
      <c r="B7">
        <f t="shared" si="1"/>
        <v>8</v>
      </c>
      <c r="C7">
        <f t="shared" si="2"/>
        <v>388</v>
      </c>
      <c r="D7">
        <f t="shared" si="0"/>
        <v>524</v>
      </c>
      <c r="H7" t="s">
        <v>609</v>
      </c>
    </row>
    <row r="8" spans="1:14">
      <c r="A8" t="s">
        <v>399</v>
      </c>
      <c r="B8">
        <f t="shared" si="1"/>
        <v>8</v>
      </c>
      <c r="C8">
        <f t="shared" si="2"/>
        <v>396</v>
      </c>
      <c r="D8">
        <f t="shared" si="0"/>
        <v>532</v>
      </c>
      <c r="H8" t="s">
        <v>391</v>
      </c>
      <c r="I8" t="s">
        <v>614</v>
      </c>
      <c r="J8" t="s">
        <v>610</v>
      </c>
      <c r="K8" t="s">
        <v>611</v>
      </c>
      <c r="L8" t="s">
        <v>612</v>
      </c>
      <c r="M8" t="s">
        <v>613</v>
      </c>
      <c r="N8" s="172" t="s">
        <v>615</v>
      </c>
    </row>
    <row r="9" spans="1:14">
      <c r="A9" t="s">
        <v>400</v>
      </c>
      <c r="B9">
        <f t="shared" si="1"/>
        <v>8</v>
      </c>
      <c r="C9">
        <f t="shared" si="2"/>
        <v>404</v>
      </c>
      <c r="D9">
        <f t="shared" si="0"/>
        <v>540</v>
      </c>
      <c r="H9">
        <v>150</v>
      </c>
      <c r="I9">
        <v>357</v>
      </c>
      <c r="J9">
        <v>371</v>
      </c>
      <c r="K9">
        <v>392</v>
      </c>
      <c r="L9">
        <v>408</v>
      </c>
      <c r="M9">
        <v>464</v>
      </c>
      <c r="N9" s="173">
        <v>518</v>
      </c>
    </row>
    <row r="10" spans="1:14">
      <c r="A10" t="s">
        <v>401</v>
      </c>
      <c r="B10">
        <f t="shared" si="1"/>
        <v>9</v>
      </c>
      <c r="C10">
        <f t="shared" si="2"/>
        <v>413</v>
      </c>
      <c r="D10">
        <f t="shared" si="0"/>
        <v>549</v>
      </c>
      <c r="H10">
        <v>160</v>
      </c>
      <c r="I10">
        <v>423</v>
      </c>
      <c r="J10">
        <v>438</v>
      </c>
      <c r="K10">
        <v>462</v>
      </c>
      <c r="L10">
        <v>480</v>
      </c>
      <c r="M10">
        <v>541</v>
      </c>
      <c r="N10" s="173">
        <v>598</v>
      </c>
    </row>
    <row r="11" spans="1:14">
      <c r="A11" t="s">
        <v>402</v>
      </c>
      <c r="B11">
        <f t="shared" si="1"/>
        <v>9</v>
      </c>
      <c r="C11">
        <f t="shared" si="2"/>
        <v>422</v>
      </c>
      <c r="D11">
        <f t="shared" si="0"/>
        <v>558</v>
      </c>
      <c r="H11">
        <v>200</v>
      </c>
      <c r="I11">
        <v>585</v>
      </c>
      <c r="J11">
        <v>604</v>
      </c>
      <c r="K11">
        <v>634</v>
      </c>
      <c r="L11">
        <v>660</v>
      </c>
      <c r="M11">
        <v>741</v>
      </c>
      <c r="N11" s="173">
        <v>810</v>
      </c>
    </row>
    <row r="12" spans="1:14">
      <c r="A12" t="s">
        <v>403</v>
      </c>
      <c r="B12">
        <f t="shared" si="1"/>
        <v>9</v>
      </c>
      <c r="C12">
        <f t="shared" si="2"/>
        <v>431</v>
      </c>
      <c r="D12">
        <f t="shared" si="0"/>
        <v>567</v>
      </c>
      <c r="H12" s="184" t="s">
        <v>618</v>
      </c>
      <c r="I12" s="28">
        <f>I11-50</f>
        <v>535</v>
      </c>
      <c r="J12" s="28">
        <f t="shared" ref="J12:N12" si="3">J11-50</f>
        <v>554</v>
      </c>
      <c r="K12" s="28">
        <f t="shared" si="3"/>
        <v>584</v>
      </c>
      <c r="L12" s="28">
        <f t="shared" si="3"/>
        <v>610</v>
      </c>
      <c r="M12" s="28">
        <f t="shared" si="3"/>
        <v>691</v>
      </c>
      <c r="N12" s="182">
        <f t="shared" si="3"/>
        <v>760</v>
      </c>
    </row>
    <row r="13" spans="1:14">
      <c r="A13" t="s">
        <v>404</v>
      </c>
      <c r="B13">
        <f t="shared" si="1"/>
        <v>9</v>
      </c>
      <c r="C13">
        <f t="shared" si="2"/>
        <v>440</v>
      </c>
      <c r="D13">
        <f t="shared" si="0"/>
        <v>576</v>
      </c>
      <c r="H13" s="181" t="s">
        <v>617</v>
      </c>
    </row>
    <row r="14" spans="1:14">
      <c r="A14" t="s">
        <v>405</v>
      </c>
      <c r="B14">
        <f t="shared" si="1"/>
        <v>9</v>
      </c>
      <c r="C14">
        <f t="shared" si="2"/>
        <v>449</v>
      </c>
      <c r="D14">
        <f t="shared" si="0"/>
        <v>585</v>
      </c>
      <c r="H14" s="183" t="s">
        <v>616</v>
      </c>
    </row>
    <row r="15" spans="1:14">
      <c r="A15" t="s">
        <v>406</v>
      </c>
      <c r="B15">
        <f t="shared" si="1"/>
        <v>9</v>
      </c>
      <c r="C15">
        <f t="shared" si="2"/>
        <v>458</v>
      </c>
      <c r="D15">
        <f t="shared" si="0"/>
        <v>594</v>
      </c>
    </row>
    <row r="16" spans="1:14">
      <c r="A16" t="s">
        <v>407</v>
      </c>
      <c r="B16">
        <f t="shared" si="1"/>
        <v>10</v>
      </c>
      <c r="C16">
        <f t="shared" si="2"/>
        <v>468</v>
      </c>
      <c r="D16">
        <f t="shared" si="0"/>
        <v>604</v>
      </c>
    </row>
    <row r="17" spans="1:4">
      <c r="A17" t="s">
        <v>408</v>
      </c>
      <c r="B17">
        <f t="shared" si="1"/>
        <v>10</v>
      </c>
      <c r="C17">
        <f t="shared" si="2"/>
        <v>478</v>
      </c>
      <c r="D17">
        <f t="shared" si="0"/>
        <v>614</v>
      </c>
    </row>
    <row r="18" spans="1:4">
      <c r="A18" t="s">
        <v>409</v>
      </c>
      <c r="B18">
        <f t="shared" si="1"/>
        <v>10</v>
      </c>
      <c r="C18">
        <f t="shared" si="2"/>
        <v>488</v>
      </c>
      <c r="D18">
        <f t="shared" si="0"/>
        <v>624</v>
      </c>
    </row>
    <row r="19" spans="1:4">
      <c r="A19" t="s">
        <v>410</v>
      </c>
      <c r="B19">
        <f t="shared" si="1"/>
        <v>10</v>
      </c>
      <c r="C19">
        <f t="shared" si="2"/>
        <v>498</v>
      </c>
      <c r="D19">
        <f t="shared" si="0"/>
        <v>634</v>
      </c>
    </row>
    <row r="20" spans="1:4">
      <c r="A20" t="s">
        <v>411</v>
      </c>
      <c r="B20" s="50">
        <f>INT(E2/10)-7</f>
        <v>13</v>
      </c>
      <c r="C20">
        <f t="shared" si="2"/>
        <v>511</v>
      </c>
      <c r="D20">
        <f t="shared" si="0"/>
        <v>647</v>
      </c>
    </row>
    <row r="21" spans="1:4">
      <c r="A21" t="s">
        <v>412</v>
      </c>
      <c r="B21" s="50">
        <f>B20</f>
        <v>13</v>
      </c>
      <c r="C21">
        <f t="shared" si="2"/>
        <v>524</v>
      </c>
      <c r="D21">
        <f t="shared" si="0"/>
        <v>660</v>
      </c>
    </row>
    <row r="22" spans="1:4">
      <c r="A22" t="s">
        <v>413</v>
      </c>
      <c r="B22">
        <f>B21+1</f>
        <v>14</v>
      </c>
      <c r="C22">
        <f t="shared" si="2"/>
        <v>538</v>
      </c>
      <c r="D22">
        <f t="shared" si="0"/>
        <v>674</v>
      </c>
    </row>
    <row r="23" spans="1:4">
      <c r="A23" t="s">
        <v>414</v>
      </c>
      <c r="B23">
        <f t="shared" ref="B23:B25" si="4">B22+1</f>
        <v>15</v>
      </c>
      <c r="C23">
        <f t="shared" si="2"/>
        <v>553</v>
      </c>
      <c r="D23">
        <f t="shared" si="0"/>
        <v>689</v>
      </c>
    </row>
    <row r="24" spans="1:4">
      <c r="A24" t="s">
        <v>415</v>
      </c>
      <c r="B24">
        <f t="shared" si="4"/>
        <v>16</v>
      </c>
      <c r="C24">
        <f t="shared" si="2"/>
        <v>569</v>
      </c>
      <c r="D24">
        <f t="shared" si="0"/>
        <v>705</v>
      </c>
    </row>
    <row r="25" spans="1:4">
      <c r="A25" t="s">
        <v>416</v>
      </c>
      <c r="B25">
        <f t="shared" si="4"/>
        <v>17</v>
      </c>
      <c r="C25">
        <f t="shared" si="2"/>
        <v>586</v>
      </c>
      <c r="D25">
        <f t="shared" si="0"/>
        <v>722</v>
      </c>
    </row>
    <row r="26" spans="1:4">
      <c r="A26" t="s">
        <v>417</v>
      </c>
      <c r="B26">
        <f>B25+2</f>
        <v>19</v>
      </c>
      <c r="C26">
        <f t="shared" si="2"/>
        <v>605</v>
      </c>
      <c r="D26">
        <f t="shared" si="0"/>
        <v>741</v>
      </c>
    </row>
    <row r="27" spans="1:4">
      <c r="A27" t="s">
        <v>418</v>
      </c>
      <c r="B27">
        <f>B26+2</f>
        <v>21</v>
      </c>
      <c r="C27">
        <f t="shared" si="2"/>
        <v>626</v>
      </c>
      <c r="D27">
        <f t="shared" si="0"/>
        <v>762</v>
      </c>
    </row>
    <row r="28" spans="1:4">
      <c r="A28" t="s">
        <v>419</v>
      </c>
      <c r="B28" s="177">
        <f t="shared" ref="B28:B34" si="5">B27+2</f>
        <v>23</v>
      </c>
      <c r="C28">
        <f t="shared" si="2"/>
        <v>649</v>
      </c>
      <c r="D28">
        <f t="shared" si="0"/>
        <v>785</v>
      </c>
    </row>
    <row r="29" spans="1:4">
      <c r="A29" t="s">
        <v>420</v>
      </c>
      <c r="B29" s="177">
        <f t="shared" si="5"/>
        <v>25</v>
      </c>
      <c r="C29">
        <f t="shared" si="2"/>
        <v>674</v>
      </c>
      <c r="D29">
        <f t="shared" si="0"/>
        <v>810</v>
      </c>
    </row>
    <row r="30" spans="1:4">
      <c r="A30" s="172" t="s">
        <v>421</v>
      </c>
      <c r="B30" s="173">
        <f t="shared" si="5"/>
        <v>27</v>
      </c>
      <c r="C30" s="172">
        <f t="shared" ref="C30:C33" si="6">C29+B30</f>
        <v>701</v>
      </c>
      <c r="D30" s="172">
        <f t="shared" ref="D30:D33" si="7">C30+$C$2</f>
        <v>837</v>
      </c>
    </row>
    <row r="31" spans="1:4">
      <c r="A31" s="172" t="s">
        <v>422</v>
      </c>
      <c r="B31" s="173">
        <f t="shared" si="5"/>
        <v>29</v>
      </c>
      <c r="C31" s="172">
        <f t="shared" si="6"/>
        <v>730</v>
      </c>
      <c r="D31" s="172">
        <f t="shared" si="7"/>
        <v>866</v>
      </c>
    </row>
    <row r="32" spans="1:4">
      <c r="A32" s="172" t="s">
        <v>423</v>
      </c>
      <c r="B32" s="173">
        <f t="shared" si="5"/>
        <v>31</v>
      </c>
      <c r="C32" s="172">
        <f t="shared" si="6"/>
        <v>761</v>
      </c>
      <c r="D32" s="172">
        <f t="shared" si="7"/>
        <v>897</v>
      </c>
    </row>
    <row r="33" spans="1:4">
      <c r="A33" s="172" t="s">
        <v>424</v>
      </c>
      <c r="B33" s="173">
        <f t="shared" si="5"/>
        <v>33</v>
      </c>
      <c r="C33" s="172">
        <f t="shared" si="6"/>
        <v>794</v>
      </c>
      <c r="D33" s="172">
        <f t="shared" si="7"/>
        <v>930</v>
      </c>
    </row>
    <row r="34" spans="1:4">
      <c r="A34" s="172" t="s">
        <v>425</v>
      </c>
      <c r="B34" s="173">
        <f t="shared" si="5"/>
        <v>35</v>
      </c>
      <c r="C34" s="172">
        <f t="shared" ref="C34" si="8">C33+B34</f>
        <v>829</v>
      </c>
      <c r="D34" s="172">
        <f t="shared" ref="D34" si="9">C34+$C$2</f>
        <v>965</v>
      </c>
    </row>
    <row r="35" spans="1:4">
      <c r="B35" s="177"/>
    </row>
    <row r="36" spans="1:4">
      <c r="B36" s="177"/>
    </row>
    <row r="37" spans="1:4">
      <c r="B37" s="177"/>
    </row>
    <row r="38" spans="1:4">
      <c r="B38" s="177"/>
    </row>
    <row r="39" spans="1:4">
      <c r="B39" s="177"/>
    </row>
    <row r="40" spans="1:4">
      <c r="B40" s="177"/>
    </row>
    <row r="41" spans="1:4">
      <c r="B41" s="177"/>
    </row>
    <row r="42" spans="1:4">
      <c r="B42" s="177"/>
    </row>
    <row r="43" spans="1:4">
      <c r="B43" s="177"/>
    </row>
  </sheetData>
  <sheetProtection algorithmName="SHA-512" hashValue="cU20UoXmCL6fgll72z7qTs+JbiMns2ILwmfLBKcPjcq8vp5GkcYu8Oc6qD399LEL3r2UB+HtHNd7+3CeER1sqA==" saltValue="E6uRHtOAtV6V2v/wPffcrA==" spinCount="100000" sheet="1" selectLockedCells="1"/>
  <phoneticPr fontId="4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93CCB-71C8-4E19-A857-F96854C6A178}">
  <dimension ref="A1:B4"/>
  <sheetViews>
    <sheetView workbookViewId="0">
      <selection activeCell="I18" sqref="I18"/>
    </sheetView>
  </sheetViews>
  <sheetFormatPr defaultRowHeight="17.399999999999999"/>
  <sheetData>
    <row r="1" spans="1:2">
      <c r="B1" t="s">
        <v>426</v>
      </c>
    </row>
    <row r="2" spans="1:2">
      <c r="A2" t="s">
        <v>427</v>
      </c>
    </row>
    <row r="3" spans="1:2">
      <c r="A3" t="s">
        <v>428</v>
      </c>
    </row>
    <row r="4" spans="1:2">
      <c r="A4" t="s">
        <v>429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EB836-3805-4002-A921-9EAA84E1A5FB}">
  <dimension ref="A2:I21"/>
  <sheetViews>
    <sheetView workbookViewId="0">
      <selection activeCell="B7" sqref="B7"/>
    </sheetView>
  </sheetViews>
  <sheetFormatPr defaultRowHeight="17.399999999999999"/>
  <cols>
    <col min="1" max="1" width="12.3984375" bestFit="1" customWidth="1"/>
    <col min="2" max="2" width="10.09765625" customWidth="1"/>
    <col min="3" max="3" width="10.796875" bestFit="1" customWidth="1"/>
    <col min="4" max="5" width="7.296875" bestFit="1" customWidth="1"/>
  </cols>
  <sheetData>
    <row r="2" spans="1:9">
      <c r="A2" t="s">
        <v>440</v>
      </c>
      <c r="B2" s="55">
        <f>Stat!C17</f>
        <v>249</v>
      </c>
      <c r="F2" t="s">
        <v>580</v>
      </c>
      <c r="H2" t="s">
        <v>581</v>
      </c>
    </row>
    <row r="3" spans="1:9">
      <c r="A3" t="s">
        <v>494</v>
      </c>
      <c r="B3" s="167">
        <f>Stat!A2</f>
        <v>34363</v>
      </c>
      <c r="C3" t="s">
        <v>500</v>
      </c>
      <c r="D3" s="56">
        <f>Stat!D2</f>
        <v>3.9</v>
      </c>
      <c r="F3" t="s">
        <v>494</v>
      </c>
      <c r="G3" s="45">
        <v>40</v>
      </c>
      <c r="H3" t="s">
        <v>494</v>
      </c>
      <c r="I3" s="185">
        <f>B3-G3*D3-D4*G7+4*I7</f>
        <v>33584.255102040814</v>
      </c>
    </row>
    <row r="4" spans="1:9">
      <c r="A4" t="s">
        <v>495</v>
      </c>
      <c r="B4" s="167">
        <f>Stat!A5</f>
        <v>4421</v>
      </c>
      <c r="C4" t="s">
        <v>4</v>
      </c>
      <c r="D4" s="166">
        <f>Stat!F2</f>
        <v>4251.6326530612241</v>
      </c>
      <c r="F4" t="s">
        <v>495</v>
      </c>
      <c r="G4" s="45">
        <v>40</v>
      </c>
      <c r="H4" t="s">
        <v>495</v>
      </c>
      <c r="I4" s="185">
        <f>B4-G4*Seed!$D$3/3+4*I7/3</f>
        <v>4374</v>
      </c>
    </row>
    <row r="5" spans="1:9" s="54" customFormat="1">
      <c r="A5" s="54" t="s">
        <v>496</v>
      </c>
      <c r="B5" s="167">
        <v>2056</v>
      </c>
      <c r="F5" s="54" t="s">
        <v>496</v>
      </c>
      <c r="G5" s="45">
        <v>40</v>
      </c>
      <c r="H5" s="54" t="s">
        <v>496</v>
      </c>
      <c r="I5" s="185">
        <f>B5-G5*Seed!$D$3/3+4*I7/3</f>
        <v>2009</v>
      </c>
    </row>
    <row r="6" spans="1:9" s="54" customFormat="1">
      <c r="A6" s="54" t="s">
        <v>497</v>
      </c>
      <c r="B6" s="167">
        <v>2193</v>
      </c>
      <c r="F6" s="54" t="s">
        <v>497</v>
      </c>
      <c r="G6" s="45">
        <v>40</v>
      </c>
      <c r="H6" s="54" t="s">
        <v>497</v>
      </c>
      <c r="I6" s="185">
        <f>B6-G6*Seed!$D$3/3+4*I7/3</f>
        <v>2146</v>
      </c>
    </row>
    <row r="7" spans="1:9">
      <c r="A7" t="s">
        <v>498</v>
      </c>
      <c r="B7" s="56">
        <f>Stat!D11</f>
        <v>0.56999999999999995</v>
      </c>
      <c r="C7" t="s">
        <v>434</v>
      </c>
      <c r="D7" s="57">
        <f>DPM!K25</f>
        <v>0.72</v>
      </c>
      <c r="F7" t="s">
        <v>579</v>
      </c>
      <c r="G7" s="1">
        <v>0.15</v>
      </c>
      <c r="H7" t="s">
        <v>579</v>
      </c>
      <c r="I7" s="56">
        <f>D3-G7</f>
        <v>3.75</v>
      </c>
    </row>
    <row r="8" spans="1:9">
      <c r="A8" t="s">
        <v>499</v>
      </c>
      <c r="B8" s="55">
        <v>660</v>
      </c>
    </row>
    <row r="10" spans="1:9">
      <c r="B10" s="196" t="s">
        <v>442</v>
      </c>
      <c r="C10" s="196"/>
      <c r="D10" s="196"/>
      <c r="E10" s="196"/>
    </row>
    <row r="11" spans="1:9">
      <c r="B11">
        <v>1</v>
      </c>
      <c r="C11">
        <v>2</v>
      </c>
      <c r="D11">
        <v>3</v>
      </c>
      <c r="E11">
        <v>4</v>
      </c>
    </row>
    <row r="12" spans="1:9">
      <c r="A12" t="s">
        <v>433</v>
      </c>
      <c r="B12" s="2">
        <f>(1+$B$7+25%)/(1+$B$7)-1</f>
        <v>0.15923566878980888</v>
      </c>
      <c r="C12" s="2">
        <f>(1+$B$7+50%)/(1+$B$7)-1</f>
        <v>0.31847133757961776</v>
      </c>
      <c r="D12" s="2">
        <f>(1+$B$7+75%)/(1+$B$7)-1</f>
        <v>0.47770700636942687</v>
      </c>
      <c r="E12" s="2">
        <f>(1+$B$7+100%)/(1+$B$7)-1</f>
        <v>0.63694267515923575</v>
      </c>
      <c r="F12" t="s">
        <v>479</v>
      </c>
    </row>
    <row r="13" spans="1:9">
      <c r="A13" t="s">
        <v>435</v>
      </c>
      <c r="B13" s="2">
        <f>($I$3*4+$I$4+(1+$I$7)*$B$8*1*4)/($I$3*4+$I$4)-1</f>
        <v>9.0403775872317071E-2</v>
      </c>
      <c r="C13" s="2">
        <f>(($I$3*4+$I$4+(1+$I$7)*$B$8*1*4)/($I$3*4+$I$4)-1)*2</f>
        <v>0.18080755174463414</v>
      </c>
      <c r="D13" s="2">
        <f>(($I$3*4+$I$4+(1+$I$7)*$B$8*1*4)/($I$3*4+$I$4)-1)*3</f>
        <v>0.27121132761695121</v>
      </c>
      <c r="E13" s="2">
        <f>(($I$3*4+$I$4+(1+$I$7)*$B$8*1*4)/($I$3*4+$I$4)-1)*4</f>
        <v>0.36161510348926829</v>
      </c>
    </row>
    <row r="14" spans="1:9">
      <c r="A14" t="s">
        <v>436</v>
      </c>
      <c r="B14" s="2">
        <f>(1+$B$7+20%)/(1+$B$7)-1</f>
        <v>0.12738853503184711</v>
      </c>
      <c r="C14" s="2">
        <f>(1+$B$7+30%)/(1+$B$7)-1</f>
        <v>0.19108280254777066</v>
      </c>
      <c r="D14" s="2">
        <f>(1+$B$7+40%)/(1+$B$7)-1</f>
        <v>0.25477707006369421</v>
      </c>
      <c r="E14" s="2">
        <f>(1+$B$7+50%)/(1+$B$7)-1</f>
        <v>0.31847133757961776</v>
      </c>
      <c r="F14" t="s">
        <v>441</v>
      </c>
    </row>
    <row r="15" spans="1:9">
      <c r="A15" t="s">
        <v>437</v>
      </c>
      <c r="B15" s="2">
        <f>(1.35+$D$7+0.07)/(1.35+$D$7)-1</f>
        <v>3.3816425120772875E-2</v>
      </c>
      <c r="C15" s="2">
        <f>(1.35+$D$7+0.14)/(1.35+$D$7)-1</f>
        <v>6.7632850241545972E-2</v>
      </c>
      <c r="D15" s="2">
        <f>(1.35+$D$7+0.21)/(1.35+$D$7)-1</f>
        <v>0.10144927536231885</v>
      </c>
      <c r="E15" s="2">
        <f>(1.35+$D$7+0.28)/(1.35+$D$7)-1</f>
        <v>0.13526570048309194</v>
      </c>
      <c r="F15" t="s">
        <v>501</v>
      </c>
    </row>
    <row r="16" spans="1:9">
      <c r="A16" t="s">
        <v>438</v>
      </c>
      <c r="B16" s="2">
        <f>($I$3*4+$I$4+(1+$I$7)*$B$2*0.9*4)/($I$3*4+$I$4)-1</f>
        <v>3.0696191171191378E-2</v>
      </c>
      <c r="C16" s="2">
        <f>($I$3*4+$I$4+(1+$I$7)*$B$2*1.6*4)/($I$3*4+$I$4)-1</f>
        <v>5.4571006526562327E-2</v>
      </c>
      <c r="D16" s="2">
        <f>($I$3*4+$I$4+(1+$I$7)*$B$2*2.3*4)/($I$3*4+$I$4)-1</f>
        <v>7.8445821881933275E-2</v>
      </c>
      <c r="E16" s="2">
        <f>($I$3*4+$I$4+(1+$I$7)*$B$2*3*4)/($I$3*4+$I$4)-1</f>
        <v>0.10232063723730445</v>
      </c>
    </row>
    <row r="17" spans="1:5">
      <c r="A17" t="s">
        <v>439</v>
      </c>
      <c r="B17" s="2">
        <f>($I$3*4+$I$4+(1+$D$3)*SUM($I$3:$I$6)*0.01*4)/($I$3*4+$I$4)-1</f>
        <v>5.9506432695193734E-2</v>
      </c>
      <c r="C17" s="2">
        <f t="shared" ref="C17" si="0">($I$3*4+$I$4+(1+$D$3)*SUM($I$3:$I$6)*0.01*4)/($I$3*4+$I$4)-1</f>
        <v>5.9506432695193734E-2</v>
      </c>
      <c r="D17" s="2">
        <f>($I$3*4+$I$4+(1+$D$3)*SUM($I$3:$I$6)*0.02*4)/($I$3*4+$I$4)-1</f>
        <v>0.11901286539038747</v>
      </c>
      <c r="E17" s="2">
        <f>($I$3*4+$I$4+(1+$D$3)*SUM($I$3:$I$6)*0.02*4)/($I$3*4+$I$4)-1</f>
        <v>0.11901286539038747</v>
      </c>
    </row>
    <row r="18" spans="1:5">
      <c r="B18" s="2"/>
      <c r="C18" s="2"/>
      <c r="D18" s="2"/>
      <c r="E18" s="2"/>
    </row>
    <row r="19" spans="1:5">
      <c r="A19" t="s">
        <v>443</v>
      </c>
    </row>
    <row r="20" spans="1:5">
      <c r="A20" t="s">
        <v>502</v>
      </c>
    </row>
    <row r="21" spans="1:5">
      <c r="A21" t="s">
        <v>619</v>
      </c>
    </row>
  </sheetData>
  <sheetProtection algorithmName="SHA-512" hashValue="L4/42KLxA7kYdlgjIUgI/W0Sz3MQNQ809Q9avQ6zajfgdSEilOaBuxq/ElBX9rstlpzFJ/ziwbTkYRYpJv5iXQ==" saltValue="QEVLQod0y8CxUTaumOLdCg==" spinCount="100000" sheet="1" selectLockedCells="1"/>
  <mergeCells count="1">
    <mergeCell ref="B10:E10"/>
  </mergeCells>
  <phoneticPr fontId="4" type="noConversion"/>
  <pageMargins left="0.7" right="0.7" top="0.75" bottom="0.75" header="0.3" footer="0.3"/>
  <pageSetup paperSize="9" orientation="portrait" r:id="rId1"/>
  <ignoredErrors>
    <ignoredError sqref="B2:B4 B7 D7 D3 I3:I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zoomScale="90" zoomScaleNormal="90" workbookViewId="0">
      <selection activeCell="A2" sqref="A2"/>
    </sheetView>
  </sheetViews>
  <sheetFormatPr defaultRowHeight="17.399999999999999"/>
  <cols>
    <col min="1" max="1" width="22.8984375" customWidth="1"/>
    <col min="2" max="2" width="34" bestFit="1" customWidth="1"/>
    <col min="3" max="4" width="32.19921875" bestFit="1" customWidth="1"/>
    <col min="5" max="6" width="19.19921875" bestFit="1" customWidth="1"/>
    <col min="7" max="7" width="21.19921875" bestFit="1" customWidth="1"/>
    <col min="8" max="8" width="20.8984375" bestFit="1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F1" t="s">
        <v>4</v>
      </c>
    </row>
    <row r="2" spans="1:7">
      <c r="A2" s="77">
        <v>34363</v>
      </c>
      <c r="B2" s="78">
        <f>13200+180+HS!D9</f>
        <v>13530</v>
      </c>
      <c r="C2" s="3">
        <f>A2-B2</f>
        <v>20833</v>
      </c>
      <c r="D2" s="84">
        <f>'Stat%'!F34</f>
        <v>3.9</v>
      </c>
      <c r="F2" s="3">
        <f>C2/(1+D2)</f>
        <v>4251.6326530612241</v>
      </c>
    </row>
    <row r="4" spans="1:7">
      <c r="A4" t="s">
        <v>5</v>
      </c>
      <c r="B4" t="s">
        <v>6</v>
      </c>
      <c r="C4" t="s">
        <v>7</v>
      </c>
      <c r="D4" t="s">
        <v>8</v>
      </c>
      <c r="F4" t="s">
        <v>9</v>
      </c>
    </row>
    <row r="5" spans="1:7">
      <c r="A5" s="79">
        <v>4421</v>
      </c>
      <c r="B5" s="78">
        <v>60</v>
      </c>
      <c r="C5" s="3">
        <f>A5-B5</f>
        <v>4361</v>
      </c>
      <c r="D5" s="83">
        <f>'Stat%'!G34</f>
        <v>1.29</v>
      </c>
      <c r="F5" s="3">
        <f>C5/(1+D5)</f>
        <v>1904.3668122270742</v>
      </c>
    </row>
    <row r="7" spans="1:7">
      <c r="A7" t="s">
        <v>10</v>
      </c>
      <c r="B7" t="s">
        <v>11</v>
      </c>
      <c r="C7" t="s">
        <v>12</v>
      </c>
      <c r="D7" t="s">
        <v>13</v>
      </c>
      <c r="F7" t="s">
        <v>14</v>
      </c>
    </row>
    <row r="8" spans="1:7">
      <c r="A8" s="80">
        <v>11513186</v>
      </c>
      <c r="B8" s="81">
        <v>1.2</v>
      </c>
      <c r="C8" s="100">
        <v>0.25</v>
      </c>
      <c r="D8" s="83">
        <v>0.81</v>
      </c>
      <c r="F8" s="53">
        <f>A8/(1+D8)/(1+C8)</f>
        <v>5088700.9944751384</v>
      </c>
    </row>
    <row r="10" spans="1:7">
      <c r="A10" t="s">
        <v>15</v>
      </c>
      <c r="D10" t="s">
        <v>16</v>
      </c>
      <c r="F10" t="s">
        <v>17</v>
      </c>
    </row>
    <row r="11" spans="1:7">
      <c r="A11" s="3">
        <f>F8/((4*A2+A5)*B8/100)</f>
        <v>2989.0001353764387</v>
      </c>
      <c r="D11" s="83">
        <v>0.56999999999999995</v>
      </c>
      <c r="F11" s="53">
        <f>A11/(1+D11)</f>
        <v>1903.8217422779867</v>
      </c>
    </row>
    <row r="13" spans="1:7">
      <c r="F13" s="157" t="s">
        <v>461</v>
      </c>
      <c r="G13" s="158" t="s">
        <v>462</v>
      </c>
    </row>
    <row r="14" spans="1:7">
      <c r="D14" t="s">
        <v>477</v>
      </c>
      <c r="F14" s="159">
        <f>(E20-A20)/(D20-A20)</f>
        <v>3.8020462770239081</v>
      </c>
      <c r="G14" s="160">
        <f>(E20-A20)/(D23-A20)</f>
        <v>18.630026757419046</v>
      </c>
    </row>
    <row r="15" spans="1:7">
      <c r="D15" s="85">
        <v>31</v>
      </c>
      <c r="F15" s="161"/>
      <c r="G15" s="162"/>
    </row>
    <row r="16" spans="1:7">
      <c r="A16" t="s">
        <v>18</v>
      </c>
      <c r="B16" t="s">
        <v>476</v>
      </c>
      <c r="C16" t="s">
        <v>19</v>
      </c>
      <c r="D16" t="s">
        <v>478</v>
      </c>
      <c r="E16" t="s">
        <v>20</v>
      </c>
      <c r="F16" s="161" t="s">
        <v>454</v>
      </c>
      <c r="G16" s="162" t="s">
        <v>457</v>
      </c>
    </row>
    <row r="17" spans="1:7">
      <c r="A17" s="79">
        <v>33355</v>
      </c>
      <c r="B17" s="3">
        <f>A2-A17</f>
        <v>1008</v>
      </c>
      <c r="C17" s="82">
        <v>249</v>
      </c>
      <c r="D17">
        <f>IF(D15=31,(18+5*C17)*0.16,IF(D15=30,(18+5*C17)*0.15,"메용 스킬레벨 선택"))</f>
        <v>202.08</v>
      </c>
      <c r="E17" s="156">
        <f>B17/D17-100%</f>
        <v>3.9881235154394297</v>
      </c>
      <c r="F17" s="159">
        <f>(B20-A20)/(D20-A20)</f>
        <v>9.6484170532977966</v>
      </c>
      <c r="G17" s="160">
        <f>(C20-A20)/(D20-A20)</f>
        <v>8.6768013327750637</v>
      </c>
    </row>
    <row r="18" spans="1:7">
      <c r="F18" s="161"/>
      <c r="G18" s="162"/>
    </row>
    <row r="19" spans="1:7">
      <c r="A19" t="s">
        <v>21</v>
      </c>
      <c r="B19" t="s">
        <v>22</v>
      </c>
      <c r="C19" t="s">
        <v>23</v>
      </c>
      <c r="D19" t="s">
        <v>24</v>
      </c>
      <c r="E19" t="s">
        <v>25</v>
      </c>
      <c r="F19" s="161" t="s">
        <v>455</v>
      </c>
      <c r="G19" s="162" t="s">
        <v>456</v>
      </c>
    </row>
    <row r="20" spans="1:7">
      <c r="A20">
        <f>(4*A2+A5)*A11</f>
        <v>424058416.20626152</v>
      </c>
      <c r="B20">
        <f>(4*(((D2+1.01)*F2)+B2)+(D5+1.01)*F5+B5)*A11</f>
        <v>424623662.95587981</v>
      </c>
      <c r="C20">
        <f>(4*(F2*(1+D2+0.01)+B2)+A5)*A11</f>
        <v>424566741.42928433</v>
      </c>
      <c r="D20">
        <f>(4*((D2+1)*(F2+1)+B2)+A5)*A11</f>
        <v>424117000.60891491</v>
      </c>
      <c r="E20">
        <f>(4*A2+A5)*(A11+1+D11)</f>
        <v>424281156.81626153</v>
      </c>
      <c r="F20" s="159">
        <f>2*(B20-A20)/(E20-A20)</f>
        <v>5.0753811765017218</v>
      </c>
      <c r="G20" s="160">
        <f>4*(C20-A20)/(E20-A20)</f>
        <v>9.1285594130820762</v>
      </c>
    </row>
    <row r="21" spans="1:7">
      <c r="F21" s="161"/>
      <c r="G21" s="162"/>
    </row>
    <row r="22" spans="1:7">
      <c r="D22" t="s">
        <v>26</v>
      </c>
      <c r="F22" s="161" t="s">
        <v>574</v>
      </c>
      <c r="G22" s="162"/>
    </row>
    <row r="23" spans="1:7">
      <c r="D23">
        <f>(4*(A2+1)+A5)*A11</f>
        <v>424070372.20680302</v>
      </c>
      <c r="F23" s="159">
        <f>INT(C17/10)/G17</f>
        <v>2.765996255941034</v>
      </c>
      <c r="G23" s="162"/>
    </row>
    <row r="24" spans="1:7">
      <c r="F24" s="161"/>
      <c r="G24" s="162"/>
    </row>
    <row r="25" spans="1:7">
      <c r="A25" t="s">
        <v>27</v>
      </c>
      <c r="F25" s="161" t="s">
        <v>576</v>
      </c>
      <c r="G25" s="162"/>
    </row>
    <row r="26" spans="1:7">
      <c r="A26" t="s">
        <v>28</v>
      </c>
      <c r="F26" s="161" t="s">
        <v>29</v>
      </c>
      <c r="G26" s="163">
        <f>D20/A20-1</f>
        <v>1.3815172724895852E-4</v>
      </c>
    </row>
    <row r="27" spans="1:7">
      <c r="A27" t="s">
        <v>463</v>
      </c>
      <c r="F27" s="161" t="s">
        <v>624</v>
      </c>
      <c r="G27" s="163">
        <f>(4*A2+A5+(1+D5))/(4*A2+A5)-1</f>
        <v>1.6141196704122507E-5</v>
      </c>
    </row>
    <row r="28" spans="1:7">
      <c r="F28" s="161" t="s">
        <v>30</v>
      </c>
      <c r="G28" s="163">
        <f>E20/A20-1</f>
        <v>5.2525926025182024E-4</v>
      </c>
    </row>
    <row r="29" spans="1:7">
      <c r="F29" s="161" t="s">
        <v>31</v>
      </c>
      <c r="G29" s="163">
        <f>C20/A20-1</f>
        <v>1.1987150911199063E-3</v>
      </c>
    </row>
    <row r="30" spans="1:7">
      <c r="F30" s="161" t="s">
        <v>593</v>
      </c>
      <c r="G30" s="163">
        <f>(4*A2+(F5*(D5+1.01)+B5))*A11/A20-1</f>
        <v>1.3423039001247972E-4</v>
      </c>
    </row>
    <row r="31" spans="1:7">
      <c r="B31" s="49"/>
      <c r="F31" s="161" t="s">
        <v>592</v>
      </c>
      <c r="G31" s="163">
        <f>(B20/A20)-1</f>
        <v>1.332945481132386E-3</v>
      </c>
    </row>
    <row r="32" spans="1:7">
      <c r="F32" s="161" t="s">
        <v>32</v>
      </c>
      <c r="G32" s="163">
        <f>(1.01+D11)/(1+D11)-1</f>
        <v>6.3694267515925773E-3</v>
      </c>
    </row>
    <row r="33" spans="5:7">
      <c r="F33" s="161" t="s">
        <v>625</v>
      </c>
      <c r="G33" s="163">
        <f>(D23/A20-1)*30</f>
        <v>8.4582690152545936E-4</v>
      </c>
    </row>
    <row r="34" spans="5:7">
      <c r="F34" s="164" t="s">
        <v>575</v>
      </c>
      <c r="G34" s="165">
        <f>G28*3</f>
        <v>1.5757777807554607E-3</v>
      </c>
    </row>
    <row r="35" spans="5:7">
      <c r="E35" s="28" t="s">
        <v>620</v>
      </c>
      <c r="F35" s="169" t="s">
        <v>582</v>
      </c>
      <c r="G35" s="170">
        <v>4.7673116931762401E-3</v>
      </c>
    </row>
    <row r="36" spans="5:7">
      <c r="F36" s="171" t="s">
        <v>583</v>
      </c>
      <c r="G36" s="176">
        <v>1.69574440415E-3</v>
      </c>
    </row>
    <row r="37" spans="5:7">
      <c r="G37" s="186"/>
    </row>
  </sheetData>
  <sheetProtection algorithmName="SHA-512" hashValue="ZuWFTT3EPy/ljjt3D18xtCe2geuqdyQBL6XDC8YMcEW1RhZmuzmt0SKmaf8q31Z9gVVijZFjmLHLZQx7Bmd4Mg==" saltValue="0sS5tmd/UBQcgyr2ZUsejA==" spinCount="100000" sheet="1" selectLockedCells="1"/>
  <phoneticPr fontId="4" type="noConversion"/>
  <dataValidations count="1">
    <dataValidation type="list" allowBlank="1" showInputMessage="1" showErrorMessage="1" sqref="D15" xr:uid="{CB73AD15-B5B2-4894-BBE7-65DB8B1F6AB3}">
      <formula1>"30, 31"</formula1>
    </dataValidation>
  </dataValidations>
  <pageMargins left="0.7" right="0.7" top="0.75" bottom="0.75" header="0.3" footer="0.3"/>
  <pageSetup paperSize="9" orientation="portrait" horizontalDpi="4294967292" r:id="rId1"/>
  <ignoredErrors>
    <ignoredError sqref="D2 D5 B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CC035-A83B-4399-9338-6C16ACABFB62}">
  <dimension ref="A2:G34"/>
  <sheetViews>
    <sheetView workbookViewId="0">
      <selection activeCell="D23" sqref="D23"/>
    </sheetView>
  </sheetViews>
  <sheetFormatPr defaultRowHeight="17.399999999999999"/>
  <sheetData>
    <row r="2" spans="1:7">
      <c r="A2" t="s">
        <v>341</v>
      </c>
      <c r="B2" t="s">
        <v>342</v>
      </c>
      <c r="C2" t="s">
        <v>343</v>
      </c>
      <c r="D2" t="s">
        <v>344</v>
      </c>
      <c r="F2" t="s">
        <v>345</v>
      </c>
      <c r="G2" t="s">
        <v>346</v>
      </c>
    </row>
    <row r="3" spans="1:7">
      <c r="A3" t="s">
        <v>347</v>
      </c>
      <c r="B3" s="96"/>
      <c r="C3" s="96"/>
      <c r="D3" s="96">
        <v>10</v>
      </c>
      <c r="F3">
        <f>B3+D3</f>
        <v>10</v>
      </c>
      <c r="G3">
        <f>C3+D3</f>
        <v>10</v>
      </c>
    </row>
    <row r="4" spans="1:7">
      <c r="A4" t="s">
        <v>348</v>
      </c>
      <c r="B4" s="96">
        <v>15</v>
      </c>
      <c r="C4" s="96">
        <v>6</v>
      </c>
      <c r="D4" s="96"/>
      <c r="F4">
        <f t="shared" ref="F4:F16" si="0">B4+D4</f>
        <v>15</v>
      </c>
      <c r="G4">
        <f t="shared" ref="G4:G16" si="1">C4+D4</f>
        <v>6</v>
      </c>
    </row>
    <row r="5" spans="1:7">
      <c r="A5" t="s">
        <v>349</v>
      </c>
      <c r="B5" s="96">
        <v>15</v>
      </c>
      <c r="C5" s="96"/>
      <c r="D5" s="96">
        <v>6</v>
      </c>
      <c r="F5">
        <f t="shared" si="0"/>
        <v>21</v>
      </c>
      <c r="G5">
        <f t="shared" si="1"/>
        <v>6</v>
      </c>
    </row>
    <row r="6" spans="1:7">
      <c r="A6" t="s">
        <v>350</v>
      </c>
      <c r="B6" s="96">
        <v>18</v>
      </c>
      <c r="C6" s="96">
        <v>0</v>
      </c>
      <c r="D6" s="96"/>
      <c r="F6">
        <f t="shared" si="0"/>
        <v>18</v>
      </c>
      <c r="G6">
        <f t="shared" si="1"/>
        <v>0</v>
      </c>
    </row>
    <row r="7" spans="1:7">
      <c r="A7" t="s">
        <v>351</v>
      </c>
      <c r="B7" s="96">
        <v>15</v>
      </c>
      <c r="C7" s="96">
        <v>0</v>
      </c>
      <c r="D7" s="96"/>
      <c r="F7">
        <f t="shared" si="0"/>
        <v>15</v>
      </c>
      <c r="G7">
        <f t="shared" si="1"/>
        <v>0</v>
      </c>
    </row>
    <row r="8" spans="1:7">
      <c r="A8" t="s">
        <v>352</v>
      </c>
      <c r="B8" s="96"/>
      <c r="C8" s="96"/>
      <c r="D8" s="96">
        <v>5</v>
      </c>
      <c r="F8">
        <f t="shared" si="0"/>
        <v>5</v>
      </c>
      <c r="G8">
        <f t="shared" si="1"/>
        <v>5</v>
      </c>
    </row>
    <row r="9" spans="1:7">
      <c r="A9" t="s">
        <v>353</v>
      </c>
      <c r="B9" s="96">
        <v>17</v>
      </c>
      <c r="C9" s="96"/>
      <c r="D9" s="96">
        <v>5</v>
      </c>
      <c r="F9">
        <f t="shared" si="0"/>
        <v>22</v>
      </c>
      <c r="G9">
        <f t="shared" si="1"/>
        <v>5</v>
      </c>
    </row>
    <row r="10" spans="1:7">
      <c r="A10" t="s">
        <v>354</v>
      </c>
      <c r="B10" s="96">
        <v>21</v>
      </c>
      <c r="C10" s="96"/>
      <c r="D10" s="96">
        <v>5</v>
      </c>
      <c r="F10">
        <f t="shared" si="0"/>
        <v>26</v>
      </c>
      <c r="G10">
        <f t="shared" si="1"/>
        <v>5</v>
      </c>
    </row>
    <row r="11" spans="1:7">
      <c r="A11" t="s">
        <v>355</v>
      </c>
      <c r="B11" s="96"/>
      <c r="C11" s="96"/>
      <c r="D11" s="96"/>
      <c r="F11">
        <f t="shared" si="0"/>
        <v>0</v>
      </c>
      <c r="G11">
        <f t="shared" si="1"/>
        <v>0</v>
      </c>
    </row>
    <row r="12" spans="1:7">
      <c r="A12" t="s">
        <v>356</v>
      </c>
      <c r="B12" s="96">
        <v>9</v>
      </c>
      <c r="C12" s="96">
        <v>0</v>
      </c>
      <c r="D12" s="96">
        <v>10</v>
      </c>
      <c r="F12">
        <f t="shared" si="0"/>
        <v>19</v>
      </c>
      <c r="G12">
        <f t="shared" si="1"/>
        <v>10</v>
      </c>
    </row>
    <row r="13" spans="1:7">
      <c r="A13" t="s">
        <v>124</v>
      </c>
      <c r="B13" s="96">
        <v>13</v>
      </c>
      <c r="C13" s="96">
        <v>0</v>
      </c>
      <c r="D13" s="96">
        <v>4</v>
      </c>
      <c r="F13">
        <f t="shared" si="0"/>
        <v>17</v>
      </c>
      <c r="G13">
        <f t="shared" si="1"/>
        <v>4</v>
      </c>
    </row>
    <row r="14" spans="1:7">
      <c r="A14" t="s">
        <v>357</v>
      </c>
      <c r="B14" s="96">
        <v>18</v>
      </c>
      <c r="C14" s="96">
        <v>0</v>
      </c>
      <c r="D14" s="96">
        <v>6</v>
      </c>
      <c r="F14">
        <f t="shared" si="0"/>
        <v>24</v>
      </c>
      <c r="G14">
        <f t="shared" si="1"/>
        <v>6</v>
      </c>
    </row>
    <row r="15" spans="1:7">
      <c r="A15" t="s">
        <v>358</v>
      </c>
      <c r="B15" s="96">
        <v>6</v>
      </c>
      <c r="C15" s="96">
        <v>0</v>
      </c>
      <c r="D15" s="96">
        <v>12</v>
      </c>
      <c r="F15">
        <f t="shared" si="0"/>
        <v>18</v>
      </c>
      <c r="G15">
        <f t="shared" si="1"/>
        <v>12</v>
      </c>
    </row>
    <row r="16" spans="1:7">
      <c r="A16" t="s">
        <v>125</v>
      </c>
      <c r="B16" s="96">
        <v>21</v>
      </c>
      <c r="C16" s="96">
        <v>0</v>
      </c>
      <c r="D16" s="96">
        <v>6</v>
      </c>
      <c r="F16">
        <f t="shared" si="0"/>
        <v>27</v>
      </c>
      <c r="G16">
        <f t="shared" si="1"/>
        <v>6</v>
      </c>
    </row>
    <row r="17" spans="1:7">
      <c r="A17" t="s">
        <v>126</v>
      </c>
      <c r="B17" s="96">
        <v>6</v>
      </c>
      <c r="C17" s="96">
        <v>0</v>
      </c>
      <c r="D17" s="96">
        <v>18</v>
      </c>
      <c r="F17">
        <f t="shared" ref="F17:F30" si="2">B17+D17</f>
        <v>24</v>
      </c>
      <c r="G17">
        <f t="shared" ref="G17:G30" si="3">C17+D17</f>
        <v>18</v>
      </c>
    </row>
    <row r="18" spans="1:7">
      <c r="A18" t="s">
        <v>359</v>
      </c>
      <c r="B18" s="96">
        <v>18</v>
      </c>
      <c r="C18" s="96">
        <v>0</v>
      </c>
      <c r="D18" s="96">
        <v>4</v>
      </c>
      <c r="F18">
        <f t="shared" si="2"/>
        <v>22</v>
      </c>
      <c r="G18">
        <f t="shared" si="3"/>
        <v>4</v>
      </c>
    </row>
    <row r="19" spans="1:7">
      <c r="A19" t="s">
        <v>360</v>
      </c>
      <c r="B19" s="96">
        <v>15</v>
      </c>
      <c r="C19" s="96">
        <v>0</v>
      </c>
      <c r="D19" s="96">
        <v>6</v>
      </c>
      <c r="F19">
        <f t="shared" si="2"/>
        <v>21</v>
      </c>
      <c r="G19">
        <f t="shared" si="3"/>
        <v>6</v>
      </c>
    </row>
    <row r="20" spans="1:7">
      <c r="A20" t="s">
        <v>361</v>
      </c>
      <c r="B20" s="96">
        <v>21</v>
      </c>
      <c r="C20" s="96">
        <v>0</v>
      </c>
      <c r="D20" s="96">
        <v>0</v>
      </c>
      <c r="F20">
        <f t="shared" si="2"/>
        <v>21</v>
      </c>
      <c r="G20">
        <f t="shared" si="3"/>
        <v>0</v>
      </c>
    </row>
    <row r="21" spans="1:7">
      <c r="A21" t="s">
        <v>362</v>
      </c>
      <c r="B21" s="96">
        <v>12</v>
      </c>
      <c r="C21" s="96">
        <v>0</v>
      </c>
      <c r="D21" s="96">
        <v>6</v>
      </c>
      <c r="F21">
        <f t="shared" si="2"/>
        <v>18</v>
      </c>
      <c r="G21">
        <f t="shared" si="3"/>
        <v>6</v>
      </c>
    </row>
    <row r="22" spans="1:7">
      <c r="A22" t="s">
        <v>363</v>
      </c>
      <c r="B22" s="96">
        <v>0</v>
      </c>
      <c r="C22" s="96">
        <v>0</v>
      </c>
      <c r="D22" s="96">
        <v>9</v>
      </c>
      <c r="F22">
        <f t="shared" si="2"/>
        <v>9</v>
      </c>
      <c r="G22">
        <f t="shared" si="3"/>
        <v>9</v>
      </c>
    </row>
    <row r="23" spans="1:7">
      <c r="A23" t="s">
        <v>364</v>
      </c>
      <c r="B23" s="96">
        <v>3</v>
      </c>
      <c r="C23" s="96">
        <v>0</v>
      </c>
      <c r="D23" s="96">
        <v>0</v>
      </c>
      <c r="F23">
        <f t="shared" si="2"/>
        <v>3</v>
      </c>
      <c r="G23">
        <f t="shared" si="3"/>
        <v>0</v>
      </c>
    </row>
    <row r="24" spans="1:7">
      <c r="A24" t="s">
        <v>365</v>
      </c>
      <c r="B24" s="96">
        <v>12</v>
      </c>
      <c r="C24" s="96">
        <v>0</v>
      </c>
      <c r="D24" s="96">
        <v>5</v>
      </c>
      <c r="F24">
        <f t="shared" si="2"/>
        <v>17</v>
      </c>
      <c r="G24">
        <f t="shared" si="3"/>
        <v>5</v>
      </c>
    </row>
    <row r="25" spans="1:7">
      <c r="A25" t="s">
        <v>366</v>
      </c>
      <c r="B25" s="96">
        <v>18</v>
      </c>
      <c r="C25" s="96">
        <v>6</v>
      </c>
      <c r="D25" s="96">
        <v>0</v>
      </c>
      <c r="F25">
        <f t="shared" si="2"/>
        <v>18</v>
      </c>
      <c r="G25">
        <f t="shared" si="3"/>
        <v>6</v>
      </c>
    </row>
    <row r="26" spans="1:7">
      <c r="F26">
        <f t="shared" si="2"/>
        <v>0</v>
      </c>
      <c r="G26">
        <f t="shared" si="3"/>
        <v>0</v>
      </c>
    </row>
    <row r="27" spans="1:7">
      <c r="F27">
        <f t="shared" si="2"/>
        <v>0</v>
      </c>
      <c r="G27">
        <f t="shared" si="3"/>
        <v>0</v>
      </c>
    </row>
    <row r="28" spans="1:7">
      <c r="F28">
        <f t="shared" si="2"/>
        <v>0</v>
      </c>
      <c r="G28">
        <f t="shared" si="3"/>
        <v>0</v>
      </c>
    </row>
    <row r="29" spans="1:7">
      <c r="F29">
        <f t="shared" si="2"/>
        <v>0</v>
      </c>
      <c r="G29">
        <f t="shared" si="3"/>
        <v>0</v>
      </c>
    </row>
    <row r="30" spans="1:7">
      <c r="F30">
        <f t="shared" si="2"/>
        <v>0</v>
      </c>
      <c r="G30">
        <f t="shared" si="3"/>
        <v>0</v>
      </c>
    </row>
    <row r="31" spans="1:7">
      <c r="F31">
        <f>B31+D31</f>
        <v>0</v>
      </c>
      <c r="G31">
        <f>C31+D31</f>
        <v>0</v>
      </c>
    </row>
    <row r="32" spans="1:7">
      <c r="F32">
        <f t="shared" ref="F32:F33" si="4">B32+D32</f>
        <v>0</v>
      </c>
      <c r="G32">
        <f t="shared" ref="G32:G33" si="5">C32+D32</f>
        <v>0</v>
      </c>
    </row>
    <row r="33" spans="2:7">
      <c r="F33">
        <f t="shared" si="4"/>
        <v>0</v>
      </c>
      <c r="G33">
        <f t="shared" si="5"/>
        <v>0</v>
      </c>
    </row>
    <row r="34" spans="2:7">
      <c r="B34">
        <f>SUM(B3:B33)</f>
        <v>273</v>
      </c>
      <c r="C34">
        <f>SUM(C3:C33)</f>
        <v>12</v>
      </c>
      <c r="D34">
        <f>SUM(D3:D33)</f>
        <v>117</v>
      </c>
      <c r="F34" s="38">
        <f>SUM(F3:F33)/100</f>
        <v>3.9</v>
      </c>
      <c r="G34" s="38">
        <f>SUM(G3:G33)/100</f>
        <v>1.29</v>
      </c>
    </row>
  </sheetData>
  <sheetProtection algorithmName="SHA-512" hashValue="5xUdlgMgUgTzVhIG2h8ZBQsWQrCEkWLbfo8tWo6T9+Ggjybym55Xqnr/7t6h1dM9fd4rIi7zQQBfVhpCMyozqg==" saltValue="MDr3umtmLSCe4KgT86+7Pw==" spinCount="100000" sheet="1" selectLockedCells="1"/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32"/>
  <sheetViews>
    <sheetView zoomScale="85" zoomScaleNormal="85" workbookViewId="0">
      <selection activeCell="P1" sqref="P1"/>
    </sheetView>
  </sheetViews>
  <sheetFormatPr defaultRowHeight="17.399999999999999"/>
  <cols>
    <col min="1" max="1" width="23.5" bestFit="1" customWidth="1"/>
    <col min="2" max="2" width="15.796875" style="3" bestFit="1" customWidth="1"/>
    <col min="3" max="3" width="11.8984375" style="3" bestFit="1" customWidth="1"/>
    <col min="5" max="5" width="11.5" style="26" bestFit="1" customWidth="1"/>
    <col min="7" max="8" width="12" style="3" customWidth="1"/>
    <col min="9" max="10" width="12" style="105" hidden="1" customWidth="1"/>
    <col min="11" max="11" width="13" style="3" bestFit="1" customWidth="1"/>
    <col min="12" max="12" width="12" style="105" hidden="1" customWidth="1"/>
    <col min="13" max="13" width="14.09765625" style="3" bestFit="1" customWidth="1"/>
    <col min="14" max="20" width="12" style="3" customWidth="1"/>
  </cols>
  <sheetData>
    <row r="1" spans="1:20" ht="18" thickBot="1">
      <c r="A1" s="111" t="s">
        <v>33</v>
      </c>
      <c r="B1" s="112" t="s">
        <v>34</v>
      </c>
      <c r="C1" s="112" t="s">
        <v>35</v>
      </c>
      <c r="D1" s="113" t="s">
        <v>36</v>
      </c>
      <c r="E1" s="114" t="s">
        <v>37</v>
      </c>
      <c r="F1" s="113" t="s">
        <v>38</v>
      </c>
      <c r="G1" s="141" t="s">
        <v>469</v>
      </c>
      <c r="H1" s="129" t="s">
        <v>467</v>
      </c>
      <c r="I1" s="142" t="s">
        <v>538</v>
      </c>
      <c r="J1" s="142" t="s">
        <v>542</v>
      </c>
      <c r="K1" s="115" t="s">
        <v>534</v>
      </c>
      <c r="L1" s="112" t="s">
        <v>544</v>
      </c>
      <c r="M1" s="141" t="s">
        <v>535</v>
      </c>
      <c r="N1" s="109"/>
      <c r="O1" s="142" t="s">
        <v>440</v>
      </c>
      <c r="P1" s="152">
        <f>Stat!C17</f>
        <v>249</v>
      </c>
      <c r="Q1" s="109"/>
      <c r="R1" s="109"/>
      <c r="S1" s="109"/>
      <c r="T1" s="109"/>
    </row>
    <row r="2" spans="1:20">
      <c r="A2" s="13" t="s">
        <v>39</v>
      </c>
      <c r="B2" s="14">
        <v>44640000</v>
      </c>
      <c r="C2" s="14">
        <v>98708</v>
      </c>
      <c r="D2" s="15">
        <v>200</v>
      </c>
      <c r="E2" s="22">
        <f>C2/B2*($B$2/$C$2)</f>
        <v>1</v>
      </c>
      <c r="F2" s="15">
        <v>30</v>
      </c>
      <c r="G2" s="17">
        <f>F2*1.5</f>
        <v>45</v>
      </c>
      <c r="H2" s="130"/>
      <c r="I2" s="144">
        <f>IF($P$1&lt;200,999,IF(($P$1-D2)&gt;=5,1.2,VLOOKUP(($P$1-D2),LEV_Force!$F$6:$H$86,2,FALSE)))</f>
        <v>1.2</v>
      </c>
      <c r="J2" s="144">
        <f>IF($P$2=0,0.1,IF($P$2&lt;F2*0.3,0.3,IF($P$2&lt;F2*0.5,0.6,IF($P$2&lt;F2*0.7,0.7,IF($P$2&lt;F2,0.8,IF($P$2&lt;F2*1.1,1,IF($P$2&lt;F2*1.2,1.1,IF($P$2&lt;F2*1.3,1.2,IF($P$2&lt;F2*1.4,1.3,1.5)))))))))</f>
        <v>1.5</v>
      </c>
      <c r="K2" s="147">
        <f>IF(I2=999, "레벨 부족", B2/I2/J2)</f>
        <v>24800000</v>
      </c>
      <c r="L2" s="148">
        <f>IF($P$1-D2&gt;40,0.7,VLOOKUP(($P$1-D2),LEV_Force!$F$6:$H$86,3,FALSE))</f>
        <v>0.7</v>
      </c>
      <c r="M2" s="149">
        <f>IF(I2=999, "레벨 부족", C2*L2)</f>
        <v>69095.599999999991</v>
      </c>
      <c r="N2" s="109"/>
      <c r="O2" s="142" t="s">
        <v>543</v>
      </c>
      <c r="P2" s="152">
        <f>Symbol!O2</f>
        <v>1340</v>
      </c>
      <c r="Q2" s="109"/>
      <c r="R2" s="109"/>
      <c r="S2" s="109"/>
      <c r="T2" s="109"/>
    </row>
    <row r="3" spans="1:20">
      <c r="A3" s="7" t="s">
        <v>40</v>
      </c>
      <c r="B3" s="8">
        <v>46056000</v>
      </c>
      <c r="C3" s="8">
        <v>101389</v>
      </c>
      <c r="D3" s="9">
        <v>201</v>
      </c>
      <c r="E3" s="23">
        <f t="shared" ref="E3:E89" si="0">C3/B3*($B$2/$C$2)</f>
        <v>0.99558067195334121</v>
      </c>
      <c r="F3" s="9">
        <v>30</v>
      </c>
      <c r="G3" s="19">
        <f t="shared" ref="G3:G81" si="1">F3*1.5</f>
        <v>45</v>
      </c>
      <c r="H3" s="131"/>
      <c r="I3" s="144">
        <f>IF($P$1&lt;200,999,IF(($P$1-D3)&gt;=5,1.2,VLOOKUP(($P$1-D3),LEV_Force!$F$6:$H$86,2,FALSE)))</f>
        <v>1.2</v>
      </c>
      <c r="J3" s="144">
        <f t="shared" ref="J3:J81" si="2">IF($P$2=0,0.1,IF($P$2&lt;F3*0.3,0.3,IF($P$2&lt;F3*0.5,0.6,IF($P$2&lt;F3*0.7,0.7,IF($P$2&lt;F3,0.8,IF($P$2&lt;F3*1.1,1,IF($P$2&lt;F3*1.2,1.1,IF($P$2&lt;F3*1.3,1.2,IF($P$2&lt;F3*1.4,1.3,1.5)))))))))</f>
        <v>1.5</v>
      </c>
      <c r="K3" s="18">
        <f t="shared" ref="K3:K81" si="3">IF(I3=999, "레벨 부족", B3/I3/J3)</f>
        <v>25586666.666666668</v>
      </c>
      <c r="L3" s="145">
        <f>IF($P$1-D3&gt;40,0.7,VLOOKUP(($P$1-D3),LEV_Force!$F$6:$H$86,3,FALSE))</f>
        <v>0.7</v>
      </c>
      <c r="M3" s="19">
        <f t="shared" ref="M3:M81" si="4">IF(I3=999, "레벨 부족", C3*L3)</f>
        <v>70972.299999999988</v>
      </c>
      <c r="N3" s="109"/>
      <c r="O3" s="109"/>
      <c r="P3" s="109"/>
      <c r="Q3" s="109"/>
      <c r="R3" s="109"/>
      <c r="S3" s="109"/>
      <c r="T3" s="109"/>
    </row>
    <row r="4" spans="1:20">
      <c r="A4" s="7" t="s">
        <v>41</v>
      </c>
      <c r="B4" s="8">
        <v>47491200</v>
      </c>
      <c r="C4" s="8">
        <v>104101</v>
      </c>
      <c r="D4" s="9">
        <v>202</v>
      </c>
      <c r="E4" s="23">
        <f t="shared" si="0"/>
        <v>0.99131936837401946</v>
      </c>
      <c r="F4" s="9">
        <v>30</v>
      </c>
      <c r="G4" s="19">
        <f t="shared" si="1"/>
        <v>45</v>
      </c>
      <c r="H4" s="131"/>
      <c r="I4" s="144">
        <f>IF($P$1&lt;200,999,IF(($P$1-D4)&gt;=5,1.2,VLOOKUP(($P$1-D4),LEV_Force!$F$6:$H$86,2,FALSE)))</f>
        <v>1.2</v>
      </c>
      <c r="J4" s="144">
        <f t="shared" si="2"/>
        <v>1.5</v>
      </c>
      <c r="K4" s="18">
        <f t="shared" si="3"/>
        <v>26384000</v>
      </c>
      <c r="L4" s="145">
        <f>IF($P$1-D4&gt;40,0.7,VLOOKUP(($P$1-D4),LEV_Force!$F$6:$H$86,3,FALSE))</f>
        <v>0.7</v>
      </c>
      <c r="M4" s="19">
        <f t="shared" si="4"/>
        <v>72870.7</v>
      </c>
      <c r="N4" s="109"/>
      <c r="O4" s="200" t="s">
        <v>655</v>
      </c>
      <c r="P4" s="200"/>
      <c r="Q4" s="200"/>
      <c r="R4" s="200"/>
      <c r="S4" s="200"/>
      <c r="T4" s="109"/>
    </row>
    <row r="5" spans="1:20">
      <c r="A5" s="7" t="s">
        <v>42</v>
      </c>
      <c r="B5" s="8">
        <v>48945600</v>
      </c>
      <c r="C5" s="8">
        <v>107125</v>
      </c>
      <c r="D5" s="9">
        <v>203</v>
      </c>
      <c r="E5" s="23">
        <f t="shared" si="0"/>
        <v>0.98980356062045671</v>
      </c>
      <c r="F5" s="9">
        <v>30</v>
      </c>
      <c r="G5" s="19">
        <f t="shared" si="1"/>
        <v>45</v>
      </c>
      <c r="H5" s="131"/>
      <c r="I5" s="144">
        <f>IF($P$1&lt;200,999,IF(($P$1-D5)&gt;=5,1.2,VLOOKUP(($P$1-D5),LEV_Force!$F$6:$H$86,2,FALSE)))</f>
        <v>1.2</v>
      </c>
      <c r="J5" s="144">
        <f t="shared" si="2"/>
        <v>1.5</v>
      </c>
      <c r="K5" s="18">
        <f t="shared" si="3"/>
        <v>27192000</v>
      </c>
      <c r="L5" s="145">
        <f>IF($P$1-D5&gt;40,0.7,VLOOKUP(($P$1-D5),LEV_Force!$F$6:$H$86,3,FALSE))</f>
        <v>0.7</v>
      </c>
      <c r="M5" s="19">
        <f t="shared" si="4"/>
        <v>74987.5</v>
      </c>
      <c r="N5" s="109"/>
      <c r="O5" s="200"/>
      <c r="P5" s="200"/>
      <c r="Q5" s="200"/>
      <c r="R5" s="200"/>
      <c r="S5" s="200"/>
      <c r="T5" s="109"/>
    </row>
    <row r="6" spans="1:20">
      <c r="A6" s="7" t="s">
        <v>43</v>
      </c>
      <c r="B6" s="8">
        <v>50419200</v>
      </c>
      <c r="C6" s="8">
        <v>109886</v>
      </c>
      <c r="D6" s="9">
        <v>204</v>
      </c>
      <c r="E6" s="23">
        <f t="shared" si="0"/>
        <v>0.98563983606505257</v>
      </c>
      <c r="F6" s="9">
        <v>40</v>
      </c>
      <c r="G6" s="19">
        <f t="shared" si="1"/>
        <v>60</v>
      </c>
      <c r="H6" s="131"/>
      <c r="I6" s="144">
        <f>IF($P$1&lt;200,999,IF(($P$1-D6)&gt;=5,1.2,VLOOKUP(($P$1-D6),LEV_Force!$F$6:$H$86,2,FALSE)))</f>
        <v>1.2</v>
      </c>
      <c r="J6" s="144">
        <f t="shared" si="2"/>
        <v>1.5</v>
      </c>
      <c r="K6" s="18">
        <f t="shared" si="3"/>
        <v>28010666.666666668</v>
      </c>
      <c r="L6" s="145">
        <f>IF($P$1-D6&gt;40,0.7,VLOOKUP(($P$1-D6),LEV_Force!$F$6:$H$86,3,FALSE))</f>
        <v>0.7</v>
      </c>
      <c r="M6" s="19">
        <f t="shared" si="4"/>
        <v>76920.2</v>
      </c>
      <c r="N6" s="109"/>
      <c r="O6" s="200" t="s">
        <v>657</v>
      </c>
      <c r="P6" s="200"/>
      <c r="Q6" s="200"/>
      <c r="R6" s="200"/>
      <c r="S6" s="200"/>
      <c r="T6" s="109"/>
    </row>
    <row r="7" spans="1:20">
      <c r="A7" s="7" t="s">
        <v>44</v>
      </c>
      <c r="B7" s="8">
        <v>51973800</v>
      </c>
      <c r="C7" s="8">
        <v>112662</v>
      </c>
      <c r="D7" s="9">
        <v>205</v>
      </c>
      <c r="E7" s="23">
        <f t="shared" si="0"/>
        <v>0.98031312955848837</v>
      </c>
      <c r="F7" s="9">
        <v>40</v>
      </c>
      <c r="G7" s="19">
        <f t="shared" si="1"/>
        <v>60</v>
      </c>
      <c r="H7" s="131"/>
      <c r="I7" s="144">
        <f>IF($P$1&lt;200,999,IF(($P$1-D7)&gt;=5,1.2,VLOOKUP(($P$1-D7),LEV_Force!$F$6:$H$86,2,FALSE)))</f>
        <v>1.2</v>
      </c>
      <c r="J7" s="144">
        <f t="shared" si="2"/>
        <v>1.5</v>
      </c>
      <c r="K7" s="18">
        <f t="shared" si="3"/>
        <v>28874333.333333332</v>
      </c>
      <c r="L7" s="145">
        <f>IF($P$1-D7&gt;40,0.7,VLOOKUP(($P$1-D7),LEV_Force!$F$6:$H$86,3,FALSE))</f>
        <v>0.7</v>
      </c>
      <c r="M7" s="19">
        <f t="shared" si="4"/>
        <v>78863.399999999994</v>
      </c>
      <c r="N7" s="109"/>
      <c r="O7" s="200"/>
      <c r="P7" s="200"/>
      <c r="Q7" s="200"/>
      <c r="R7" s="200"/>
      <c r="S7" s="200"/>
      <c r="T7" s="109"/>
    </row>
    <row r="8" spans="1:20">
      <c r="A8" s="7" t="s">
        <v>45</v>
      </c>
      <c r="B8" s="8">
        <v>53487000</v>
      </c>
      <c r="C8" s="8">
        <v>115470</v>
      </c>
      <c r="D8" s="9">
        <v>206</v>
      </c>
      <c r="E8" s="23">
        <f t="shared" si="0"/>
        <v>0.97632128963860731</v>
      </c>
      <c r="F8" s="9">
        <v>40</v>
      </c>
      <c r="G8" s="19">
        <f t="shared" si="1"/>
        <v>60</v>
      </c>
      <c r="H8" s="131"/>
      <c r="I8" s="144">
        <f>IF($P$1&lt;200,999,IF(($P$1-D8)&gt;=5,1.2,VLOOKUP(($P$1-D8),LEV_Force!$F$6:$H$86,2,FALSE)))</f>
        <v>1.2</v>
      </c>
      <c r="J8" s="144">
        <f t="shared" si="2"/>
        <v>1.5</v>
      </c>
      <c r="K8" s="18">
        <f t="shared" si="3"/>
        <v>29715000</v>
      </c>
      <c r="L8" s="145">
        <f>IF($P$1-D8&gt;40,0.7,VLOOKUP(($P$1-D8),LEV_Force!$F$6:$H$86,3,FALSE))</f>
        <v>0.7</v>
      </c>
      <c r="M8" s="19">
        <f t="shared" si="4"/>
        <v>80829</v>
      </c>
      <c r="N8" s="109"/>
      <c r="O8" s="109"/>
      <c r="P8" s="109"/>
      <c r="Q8" s="109"/>
      <c r="R8" s="109"/>
      <c r="S8" s="109"/>
      <c r="T8" s="109"/>
    </row>
    <row r="9" spans="1:20">
      <c r="A9" s="7" t="s">
        <v>46</v>
      </c>
      <c r="B9" s="8">
        <v>55019400</v>
      </c>
      <c r="C9" s="8">
        <v>118598</v>
      </c>
      <c r="D9" s="9">
        <v>207</v>
      </c>
      <c r="E9" s="23">
        <f t="shared" si="0"/>
        <v>0.97484001748705018</v>
      </c>
      <c r="F9" s="9">
        <v>60</v>
      </c>
      <c r="G9" s="19">
        <f t="shared" si="1"/>
        <v>90</v>
      </c>
      <c r="H9" s="131"/>
      <c r="I9" s="144">
        <f>IF($P$1&lt;200,999,IF(($P$1-D9)&gt;=5,1.2,VLOOKUP(($P$1-D9),LEV_Force!$F$6:$H$86,2,FALSE)))</f>
        <v>1.2</v>
      </c>
      <c r="J9" s="144">
        <f t="shared" si="2"/>
        <v>1.5</v>
      </c>
      <c r="K9" s="18">
        <f t="shared" si="3"/>
        <v>30566333.333333332</v>
      </c>
      <c r="L9" s="145">
        <f>IF($P$1-D9&gt;40,0.7,VLOOKUP(($P$1-D9),LEV_Force!$F$6:$H$86,3,FALSE))</f>
        <v>0.7</v>
      </c>
      <c r="M9" s="19">
        <f t="shared" si="4"/>
        <v>83018.599999999991</v>
      </c>
      <c r="N9" s="109"/>
      <c r="O9" s="109"/>
      <c r="P9" s="109"/>
      <c r="Q9" s="109"/>
      <c r="R9" s="109"/>
      <c r="S9" s="109"/>
      <c r="T9" s="109"/>
    </row>
    <row r="10" spans="1:20">
      <c r="A10" s="7" t="s">
        <v>47</v>
      </c>
      <c r="B10" s="8">
        <v>56571000</v>
      </c>
      <c r="C10" s="8">
        <v>121453</v>
      </c>
      <c r="D10" s="9">
        <v>208</v>
      </c>
      <c r="E10" s="23">
        <f t="shared" si="0"/>
        <v>0.97092620890574621</v>
      </c>
      <c r="F10" s="9">
        <v>60</v>
      </c>
      <c r="G10" s="19">
        <f t="shared" si="1"/>
        <v>90</v>
      </c>
      <c r="H10" s="131" t="s">
        <v>652</v>
      </c>
      <c r="I10" s="144">
        <f>IF($P$1&lt;200,999,IF(($P$1-D10)&gt;=5,1.2,VLOOKUP(($P$1-D10),LEV_Force!$F$6:$H$86,2,FALSE)))</f>
        <v>1.2</v>
      </c>
      <c r="J10" s="144">
        <f t="shared" si="2"/>
        <v>1.5</v>
      </c>
      <c r="K10" s="18">
        <f t="shared" si="3"/>
        <v>31428333.333333332</v>
      </c>
      <c r="L10" s="145">
        <f>IF($P$1-D10&gt;40,0.7,VLOOKUP(($P$1-D10),LEV_Force!$F$6:$H$86,3,FALSE))</f>
        <v>0.7</v>
      </c>
      <c r="M10" s="19">
        <f t="shared" si="4"/>
        <v>85017.099999999991</v>
      </c>
      <c r="N10" s="109"/>
      <c r="O10" s="109"/>
      <c r="P10" s="109"/>
      <c r="Q10" s="109"/>
      <c r="R10" s="109"/>
      <c r="S10" s="109"/>
      <c r="T10" s="109"/>
    </row>
    <row r="11" spans="1:20">
      <c r="A11" s="7" t="s">
        <v>48</v>
      </c>
      <c r="B11" s="8">
        <v>58208400</v>
      </c>
      <c r="C11" s="8">
        <v>124322</v>
      </c>
      <c r="D11" s="9">
        <v>209</v>
      </c>
      <c r="E11" s="23">
        <f t="shared" si="0"/>
        <v>0.96590443426716832</v>
      </c>
      <c r="F11" s="9">
        <v>60</v>
      </c>
      <c r="G11" s="19">
        <f t="shared" si="1"/>
        <v>90</v>
      </c>
      <c r="H11" s="131"/>
      <c r="I11" s="144">
        <f>IF($P$1&lt;200,999,IF(($P$1-D11)&gt;=5,1.2,VLOOKUP(($P$1-D11),LEV_Force!$F$6:$H$86,2,FALSE)))</f>
        <v>1.2</v>
      </c>
      <c r="J11" s="144">
        <f t="shared" si="2"/>
        <v>1.5</v>
      </c>
      <c r="K11" s="18">
        <f t="shared" si="3"/>
        <v>32338000</v>
      </c>
      <c r="L11" s="145">
        <f>IF($P$1-D11&gt;40,0.7,VLOOKUP(($P$1-D11),LEV_Force!$F$6:$H$86,3,FALSE))</f>
        <v>0.7</v>
      </c>
      <c r="M11" s="19">
        <f t="shared" si="4"/>
        <v>87025.4</v>
      </c>
      <c r="N11" s="109"/>
      <c r="O11" s="109"/>
      <c r="P11" s="109"/>
      <c r="Q11" s="109"/>
      <c r="R11" s="109"/>
      <c r="S11" s="109"/>
      <c r="T11" s="109"/>
    </row>
    <row r="12" spans="1:20">
      <c r="A12" s="7" t="s">
        <v>49</v>
      </c>
      <c r="B12" s="8">
        <v>100894560</v>
      </c>
      <c r="C12" s="8">
        <v>207204</v>
      </c>
      <c r="D12" s="9">
        <v>209</v>
      </c>
      <c r="E12" s="23">
        <f t="shared" si="0"/>
        <v>0.92875725194018977</v>
      </c>
      <c r="F12" s="9">
        <v>80</v>
      </c>
      <c r="G12" s="19">
        <f t="shared" si="1"/>
        <v>120</v>
      </c>
      <c r="H12" s="131" t="s">
        <v>468</v>
      </c>
      <c r="I12" s="144">
        <f>IF($P$1&lt;200,999,IF(($P$1-D12)&gt;=5,1.2,VLOOKUP(($P$1-D12),LEV_Force!$F$6:$H$86,2,FALSE)))</f>
        <v>1.2</v>
      </c>
      <c r="J12" s="144">
        <f t="shared" si="2"/>
        <v>1.5</v>
      </c>
      <c r="K12" s="18">
        <f t="shared" si="3"/>
        <v>56052533.333333336</v>
      </c>
      <c r="L12" s="145">
        <f>IF($P$1-D12&gt;40,0.7,VLOOKUP(($P$1-D12),LEV_Force!$F$6:$H$86,3,FALSE))</f>
        <v>0.7</v>
      </c>
      <c r="M12" s="19">
        <f t="shared" si="4"/>
        <v>145042.79999999999</v>
      </c>
      <c r="N12" s="109"/>
      <c r="O12" s="109"/>
      <c r="P12" s="109"/>
      <c r="Q12" s="109"/>
      <c r="R12" s="109"/>
      <c r="S12" s="109"/>
      <c r="T12" s="109"/>
    </row>
    <row r="13" spans="1:20" ht="18" thickBot="1">
      <c r="A13" s="10" t="s">
        <v>50</v>
      </c>
      <c r="B13" s="11">
        <f>B12</f>
        <v>100894560</v>
      </c>
      <c r="C13" s="11">
        <f>C12</f>
        <v>207204</v>
      </c>
      <c r="D13" s="12">
        <f>D12</f>
        <v>209</v>
      </c>
      <c r="E13" s="24">
        <f t="shared" si="0"/>
        <v>0.92875725194018977</v>
      </c>
      <c r="F13" s="12">
        <v>80</v>
      </c>
      <c r="G13" s="21">
        <f t="shared" si="1"/>
        <v>120</v>
      </c>
      <c r="H13" s="132" t="s">
        <v>468</v>
      </c>
      <c r="I13" s="144">
        <f>IF($P$1&lt;200,999,IF(($P$1-D13)&gt;=5,1.2,VLOOKUP(($P$1-D13),LEV_Force!$F$6:$H$86,2,FALSE)))</f>
        <v>1.2</v>
      </c>
      <c r="J13" s="144">
        <f t="shared" si="2"/>
        <v>1.5</v>
      </c>
      <c r="K13" s="20">
        <f t="shared" si="3"/>
        <v>56052533.333333336</v>
      </c>
      <c r="L13" s="146">
        <f>IF($P$1-D13&gt;40,0.7,VLOOKUP(($P$1-D13),LEV_Force!$F$6:$H$86,3,FALSE))</f>
        <v>0.7</v>
      </c>
      <c r="M13" s="21">
        <f t="shared" si="4"/>
        <v>145042.79999999999</v>
      </c>
      <c r="N13" s="109"/>
      <c r="O13" s="109"/>
      <c r="P13" s="109"/>
      <c r="Q13" s="109"/>
      <c r="R13" s="109"/>
      <c r="S13" s="109"/>
      <c r="T13" s="109"/>
    </row>
    <row r="14" spans="1:20" s="194" customFormat="1">
      <c r="A14" s="13" t="s">
        <v>635</v>
      </c>
      <c r="B14" s="14">
        <v>51973800</v>
      </c>
      <c r="C14" s="14">
        <v>112662</v>
      </c>
      <c r="D14" s="15">
        <v>205</v>
      </c>
      <c r="E14" s="23">
        <f t="shared" si="0"/>
        <v>0.98031312955848837</v>
      </c>
      <c r="F14" s="15">
        <v>40</v>
      </c>
      <c r="G14" s="19">
        <f t="shared" si="1"/>
        <v>60</v>
      </c>
      <c r="H14" s="133"/>
      <c r="I14" s="144">
        <f>IF($P$1&lt;205,999,IF(($P$1-D14)&gt;=5,1.2,VLOOKUP(($P$1-D14),LEV_Force!$F$6:$H$86,2,FALSE)))</f>
        <v>1.2</v>
      </c>
      <c r="J14" s="144">
        <f t="shared" si="2"/>
        <v>1.5</v>
      </c>
      <c r="K14" s="18">
        <f t="shared" si="3"/>
        <v>28874333.333333332</v>
      </c>
      <c r="L14" s="145">
        <f>IF($P$1-D14&gt;40,0.7,VLOOKUP(($P$1-D14),LEV_Force!$F$6:$H$86,3,FALSE))</f>
        <v>0.7</v>
      </c>
      <c r="M14" s="19">
        <f t="shared" si="4"/>
        <v>78863.399999999994</v>
      </c>
      <c r="N14" s="109"/>
      <c r="O14" s="109"/>
      <c r="P14" s="109"/>
      <c r="Q14" s="109"/>
      <c r="R14" s="109"/>
      <c r="S14" s="109"/>
      <c r="T14" s="109"/>
    </row>
    <row r="15" spans="1:20" s="194" customFormat="1">
      <c r="A15" s="7" t="s">
        <v>636</v>
      </c>
      <c r="B15" s="8">
        <v>51973800</v>
      </c>
      <c r="C15" s="8">
        <v>112662</v>
      </c>
      <c r="D15" s="9">
        <v>205</v>
      </c>
      <c r="E15" s="23">
        <f t="shared" si="0"/>
        <v>0.98031312955848837</v>
      </c>
      <c r="F15" s="9">
        <v>40</v>
      </c>
      <c r="G15" s="19">
        <f t="shared" si="1"/>
        <v>60</v>
      </c>
      <c r="H15" s="131"/>
      <c r="I15" s="144">
        <f>IF($P$1&lt;205,999,IF(($P$1-D15)&gt;=5,1.2,VLOOKUP(($P$1-D15),LEV_Force!$F$6:$H$86,2,FALSE)))</f>
        <v>1.2</v>
      </c>
      <c r="J15" s="144">
        <f t="shared" si="2"/>
        <v>1.5</v>
      </c>
      <c r="K15" s="18">
        <f t="shared" si="3"/>
        <v>28874333.333333332</v>
      </c>
      <c r="L15" s="145">
        <f>IF($P$1-D15&gt;40,0.7,VLOOKUP(($P$1-D15),LEV_Force!$F$6:$H$86,3,FALSE))</f>
        <v>0.7</v>
      </c>
      <c r="M15" s="19">
        <f t="shared" si="4"/>
        <v>78863.399999999994</v>
      </c>
      <c r="N15" s="109"/>
      <c r="O15" s="109"/>
      <c r="P15" s="109"/>
      <c r="Q15" s="109"/>
      <c r="R15" s="109"/>
      <c r="S15" s="109"/>
      <c r="T15" s="109"/>
    </row>
    <row r="16" spans="1:20" s="194" customFormat="1">
      <c r="A16" s="7" t="s">
        <v>637</v>
      </c>
      <c r="B16" s="8">
        <v>53487000</v>
      </c>
      <c r="C16" s="8">
        <v>115470</v>
      </c>
      <c r="D16" s="9">
        <v>206</v>
      </c>
      <c r="E16" s="23">
        <f t="shared" si="0"/>
        <v>0.97632128963860731</v>
      </c>
      <c r="F16" s="9">
        <v>40</v>
      </c>
      <c r="G16" s="19">
        <f t="shared" si="1"/>
        <v>60</v>
      </c>
      <c r="H16" s="131"/>
      <c r="I16" s="144">
        <f>IF($P$1&lt;205,999,IF(($P$1-D16)&gt;=5,1.2,VLOOKUP(($P$1-D16),LEV_Force!$F$6:$H$86,2,FALSE)))</f>
        <v>1.2</v>
      </c>
      <c r="J16" s="144">
        <f t="shared" si="2"/>
        <v>1.5</v>
      </c>
      <c r="K16" s="18">
        <f t="shared" si="3"/>
        <v>29715000</v>
      </c>
      <c r="L16" s="145">
        <f>IF($P$1-D16&gt;40,0.7,VLOOKUP(($P$1-D16),LEV_Force!$F$6:$H$86,3,FALSE))</f>
        <v>0.7</v>
      </c>
      <c r="M16" s="19">
        <f t="shared" si="4"/>
        <v>80829</v>
      </c>
      <c r="N16" s="109"/>
      <c r="O16" s="109"/>
      <c r="P16" s="109"/>
      <c r="Q16" s="109"/>
      <c r="R16" s="109"/>
      <c r="S16" s="109"/>
      <c r="T16" s="109"/>
    </row>
    <row r="17" spans="1:20" s="194" customFormat="1">
      <c r="A17" s="7" t="s">
        <v>638</v>
      </c>
      <c r="B17" s="8">
        <v>53487000</v>
      </c>
      <c r="C17" s="8">
        <v>115470</v>
      </c>
      <c r="D17" s="9">
        <v>206</v>
      </c>
      <c r="E17" s="23">
        <f t="shared" si="0"/>
        <v>0.97632128963860731</v>
      </c>
      <c r="F17" s="9">
        <v>40</v>
      </c>
      <c r="G17" s="19">
        <f t="shared" si="1"/>
        <v>60</v>
      </c>
      <c r="H17" s="131"/>
      <c r="I17" s="144">
        <f>IF($P$1&lt;205,999,IF(($P$1-D17)&gt;=5,1.2,VLOOKUP(($P$1-D17),LEV_Force!$F$6:$H$86,2,FALSE)))</f>
        <v>1.2</v>
      </c>
      <c r="J17" s="144">
        <f t="shared" si="2"/>
        <v>1.5</v>
      </c>
      <c r="K17" s="18">
        <f t="shared" si="3"/>
        <v>29715000</v>
      </c>
      <c r="L17" s="145">
        <f>IF($P$1-D17&gt;40,0.7,VLOOKUP(($P$1-D17),LEV_Force!$F$6:$H$86,3,FALSE))</f>
        <v>0.7</v>
      </c>
      <c r="M17" s="19">
        <f t="shared" si="4"/>
        <v>80829</v>
      </c>
      <c r="N17" s="109"/>
      <c r="O17" s="109"/>
      <c r="P17" s="109"/>
      <c r="Q17" s="109"/>
      <c r="R17" s="109"/>
      <c r="S17" s="109"/>
      <c r="T17" s="109"/>
    </row>
    <row r="18" spans="1:20" s="194" customFormat="1">
      <c r="A18" s="7" t="s">
        <v>639</v>
      </c>
      <c r="B18" s="8">
        <v>55019400</v>
      </c>
      <c r="C18" s="8">
        <v>118598</v>
      </c>
      <c r="D18" s="9">
        <v>207</v>
      </c>
      <c r="E18" s="23">
        <f t="shared" si="0"/>
        <v>0.97484001748705018</v>
      </c>
      <c r="F18" s="9">
        <v>60</v>
      </c>
      <c r="G18" s="19">
        <f t="shared" si="1"/>
        <v>90</v>
      </c>
      <c r="H18" s="131"/>
      <c r="I18" s="144">
        <f>IF($P$1&lt;205,999,IF(($P$1-D18)&gt;=5,1.2,VLOOKUP(($P$1-D18),LEV_Force!$F$6:$H$86,2,FALSE)))</f>
        <v>1.2</v>
      </c>
      <c r="J18" s="144">
        <f t="shared" si="2"/>
        <v>1.5</v>
      </c>
      <c r="K18" s="18">
        <f t="shared" si="3"/>
        <v>30566333.333333332</v>
      </c>
      <c r="L18" s="145">
        <f>IF($P$1-D18&gt;40,0.7,VLOOKUP(($P$1-D18),LEV_Force!$F$6:$H$86,3,FALSE))</f>
        <v>0.7</v>
      </c>
      <c r="M18" s="19">
        <f t="shared" si="4"/>
        <v>83018.599999999991</v>
      </c>
      <c r="N18" s="109"/>
      <c r="O18" s="109"/>
      <c r="P18" s="109"/>
      <c r="Q18" s="109"/>
      <c r="R18" s="109"/>
      <c r="S18" s="109"/>
      <c r="T18" s="109"/>
    </row>
    <row r="19" spans="1:20" s="194" customFormat="1">
      <c r="A19" s="7" t="s">
        <v>640</v>
      </c>
      <c r="B19" s="8">
        <v>56571000</v>
      </c>
      <c r="C19" s="8">
        <v>121453</v>
      </c>
      <c r="D19" s="9">
        <v>208</v>
      </c>
      <c r="E19" s="23">
        <f t="shared" si="0"/>
        <v>0.97092620890574621</v>
      </c>
      <c r="F19" s="9">
        <v>60</v>
      </c>
      <c r="G19" s="19">
        <f t="shared" si="1"/>
        <v>90</v>
      </c>
      <c r="H19" s="131"/>
      <c r="I19" s="144">
        <f>IF($P$1&lt;205,999,IF(($P$1-D19)&gt;=5,1.2,VLOOKUP(($P$1-D19),LEV_Force!$F$6:$H$86,2,FALSE)))</f>
        <v>1.2</v>
      </c>
      <c r="J19" s="144">
        <f t="shared" si="2"/>
        <v>1.5</v>
      </c>
      <c r="K19" s="18">
        <f t="shared" si="3"/>
        <v>31428333.333333332</v>
      </c>
      <c r="L19" s="145">
        <f>IF($P$1-D19&gt;40,0.7,VLOOKUP(($P$1-D19),LEV_Force!$F$6:$H$86,3,FALSE))</f>
        <v>0.7</v>
      </c>
      <c r="M19" s="19">
        <f t="shared" si="4"/>
        <v>85017.099999999991</v>
      </c>
      <c r="N19" s="109"/>
      <c r="O19" s="109"/>
      <c r="P19" s="109"/>
      <c r="Q19" s="109"/>
      <c r="R19" s="109"/>
      <c r="S19" s="109"/>
      <c r="T19" s="109"/>
    </row>
    <row r="20" spans="1:20" s="194" customFormat="1">
      <c r="A20" s="7" t="s">
        <v>643</v>
      </c>
      <c r="B20" s="8">
        <v>56571000</v>
      </c>
      <c r="C20" s="8">
        <v>121453</v>
      </c>
      <c r="D20" s="9">
        <v>208</v>
      </c>
      <c r="E20" s="23">
        <f t="shared" si="0"/>
        <v>0.97092620890574621</v>
      </c>
      <c r="F20" s="9">
        <v>60</v>
      </c>
      <c r="G20" s="19">
        <f t="shared" si="1"/>
        <v>90</v>
      </c>
      <c r="H20" s="131" t="s">
        <v>644</v>
      </c>
      <c r="I20" s="144">
        <f>IF($P$1&lt;205,999,IF(($P$1-D20)&gt;=5,1.2,VLOOKUP(($P$1-D20),LEV_Force!$F$6:$H$86,2,FALSE)))</f>
        <v>1.2</v>
      </c>
      <c r="J20" s="144">
        <f t="shared" si="2"/>
        <v>1.5</v>
      </c>
      <c r="K20" s="18">
        <f t="shared" si="3"/>
        <v>31428333.333333332</v>
      </c>
      <c r="L20" s="145">
        <f>IF($P$1-D20&gt;40,0.7,VLOOKUP(($P$1-D20),LEV_Force!$F$6:$H$86,3,FALSE))</f>
        <v>0.7</v>
      </c>
      <c r="M20" s="19">
        <f t="shared" si="4"/>
        <v>85017.099999999991</v>
      </c>
      <c r="N20" s="109"/>
      <c r="O20" s="109"/>
      <c r="P20" s="109"/>
      <c r="Q20" s="109"/>
      <c r="R20" s="109"/>
      <c r="S20" s="109"/>
      <c r="T20" s="109"/>
    </row>
    <row r="21" spans="1:20" s="194" customFormat="1">
      <c r="A21" s="7" t="s">
        <v>641</v>
      </c>
      <c r="B21" s="8">
        <v>58208400</v>
      </c>
      <c r="C21" s="8">
        <v>124322</v>
      </c>
      <c r="D21" s="9">
        <v>209</v>
      </c>
      <c r="E21" s="23">
        <f t="shared" si="0"/>
        <v>0.96590443426716832</v>
      </c>
      <c r="F21" s="9">
        <v>60</v>
      </c>
      <c r="G21" s="19">
        <f t="shared" si="1"/>
        <v>90</v>
      </c>
      <c r="H21" s="131"/>
      <c r="I21" s="144">
        <f>IF($P$1&lt;205,999,IF(($P$1-D21)&gt;=5,1.2,VLOOKUP(($P$1-D21),LEV_Force!$F$6:$H$86,2,FALSE)))</f>
        <v>1.2</v>
      </c>
      <c r="J21" s="144">
        <f t="shared" si="2"/>
        <v>1.5</v>
      </c>
      <c r="K21" s="18">
        <f t="shared" si="3"/>
        <v>32338000</v>
      </c>
      <c r="L21" s="145">
        <f>IF($P$1-D21&gt;40,0.7,VLOOKUP(($P$1-D21),LEV_Force!$F$6:$H$86,3,FALSE))</f>
        <v>0.7</v>
      </c>
      <c r="M21" s="19">
        <f t="shared" si="4"/>
        <v>87025.4</v>
      </c>
      <c r="N21" s="109"/>
      <c r="O21" s="109"/>
      <c r="P21" s="109"/>
      <c r="Q21" s="109"/>
      <c r="R21" s="109"/>
      <c r="S21" s="109"/>
      <c r="T21" s="109"/>
    </row>
    <row r="22" spans="1:20" s="194" customFormat="1">
      <c r="A22" s="7" t="s">
        <v>642</v>
      </c>
      <c r="B22" s="8">
        <v>58208400</v>
      </c>
      <c r="C22" s="8">
        <v>124322</v>
      </c>
      <c r="D22" s="9">
        <v>209</v>
      </c>
      <c r="E22" s="23">
        <f t="shared" si="0"/>
        <v>0.96590443426716832</v>
      </c>
      <c r="F22" s="9">
        <v>60</v>
      </c>
      <c r="G22" s="19">
        <f t="shared" si="1"/>
        <v>90</v>
      </c>
      <c r="H22" s="131"/>
      <c r="I22" s="144">
        <f>IF($P$1&lt;205,999,IF(($P$1-D22)&gt;=5,1.2,VLOOKUP(($P$1-D22),LEV_Force!$F$6:$H$86,2,FALSE)))</f>
        <v>1.2</v>
      </c>
      <c r="J22" s="144">
        <f t="shared" si="2"/>
        <v>1.5</v>
      </c>
      <c r="K22" s="18">
        <f t="shared" si="3"/>
        <v>32338000</v>
      </c>
      <c r="L22" s="145">
        <f>IF($P$1-D22&gt;40,0.7,VLOOKUP(($P$1-D22),LEV_Force!$F$6:$H$86,3,FALSE))</f>
        <v>0.7</v>
      </c>
      <c r="M22" s="19">
        <f t="shared" si="4"/>
        <v>87025.4</v>
      </c>
      <c r="N22" s="109"/>
      <c r="O22" s="109"/>
      <c r="P22" s="109"/>
      <c r="Q22" s="109"/>
      <c r="R22" s="109"/>
      <c r="S22" s="109"/>
      <c r="T22" s="109"/>
    </row>
    <row r="23" spans="1:20" s="194" customFormat="1">
      <c r="A23" s="7" t="s">
        <v>645</v>
      </c>
      <c r="B23" s="8">
        <v>119599200</v>
      </c>
      <c r="C23" s="8">
        <v>248003</v>
      </c>
      <c r="D23" s="9">
        <v>210</v>
      </c>
      <c r="E23" s="23">
        <f t="shared" si="0"/>
        <v>0.93777897840008639</v>
      </c>
      <c r="F23" s="9">
        <v>100</v>
      </c>
      <c r="G23" s="19">
        <f t="shared" si="1"/>
        <v>150</v>
      </c>
      <c r="H23" s="131" t="s">
        <v>651</v>
      </c>
      <c r="I23" s="144">
        <f>IF($P$1&lt;205,999,IF(($P$1-D23)&gt;=5,1.2,VLOOKUP(($P$1-D23),LEV_Force!$F$6:$H$86,2,FALSE)))</f>
        <v>1.2</v>
      </c>
      <c r="J23" s="144">
        <f t="shared" si="2"/>
        <v>1.5</v>
      </c>
      <c r="K23" s="18">
        <f t="shared" si="3"/>
        <v>66444000</v>
      </c>
      <c r="L23" s="145">
        <f>IF($P$1-D23&gt;40,0.7,VLOOKUP(($P$1-D23),LEV_Force!$F$6:$H$86,3,FALSE))</f>
        <v>0.71</v>
      </c>
      <c r="M23" s="19">
        <f t="shared" si="4"/>
        <v>176082.13</v>
      </c>
      <c r="N23" s="109"/>
      <c r="O23" s="109"/>
      <c r="P23" s="109"/>
      <c r="Q23" s="109"/>
      <c r="R23" s="109"/>
      <c r="S23" s="109"/>
      <c r="T23" s="109"/>
    </row>
    <row r="24" spans="1:20" s="194" customFormat="1">
      <c r="A24" s="7" t="s">
        <v>646</v>
      </c>
      <c r="B24" s="8">
        <v>119599200</v>
      </c>
      <c r="C24" s="8">
        <v>248003</v>
      </c>
      <c r="D24" s="9">
        <v>210</v>
      </c>
      <c r="E24" s="23">
        <f t="shared" si="0"/>
        <v>0.93777897840008639</v>
      </c>
      <c r="F24" s="9">
        <v>100</v>
      </c>
      <c r="G24" s="19">
        <f t="shared" si="1"/>
        <v>150</v>
      </c>
      <c r="H24" s="131" t="s">
        <v>651</v>
      </c>
      <c r="I24" s="144">
        <f>IF($P$1&lt;205,999,IF(($P$1-D24)&gt;=5,1.2,VLOOKUP(($P$1-D24),LEV_Force!$F$6:$H$86,2,FALSE)))</f>
        <v>1.2</v>
      </c>
      <c r="J24" s="144">
        <f t="shared" si="2"/>
        <v>1.5</v>
      </c>
      <c r="K24" s="18">
        <f t="shared" si="3"/>
        <v>66444000</v>
      </c>
      <c r="L24" s="145">
        <f>IF($P$1-D24&gt;40,0.7,VLOOKUP(($P$1-D24),LEV_Force!$F$6:$H$86,3,FALSE))</f>
        <v>0.71</v>
      </c>
      <c r="M24" s="19">
        <f t="shared" si="4"/>
        <v>176082.13</v>
      </c>
      <c r="N24" s="109"/>
      <c r="O24" s="109"/>
      <c r="P24" s="109"/>
      <c r="Q24" s="109"/>
      <c r="R24" s="109"/>
      <c r="S24" s="109"/>
      <c r="T24" s="109"/>
    </row>
    <row r="25" spans="1:20" s="194" customFormat="1">
      <c r="A25" s="7" t="s">
        <v>647</v>
      </c>
      <c r="B25" s="8">
        <v>122820000</v>
      </c>
      <c r="C25" s="8">
        <v>253673</v>
      </c>
      <c r="D25" s="9">
        <v>211</v>
      </c>
      <c r="E25" s="23">
        <f t="shared" si="0"/>
        <v>0.93406475562657421</v>
      </c>
      <c r="F25" s="9">
        <v>100</v>
      </c>
      <c r="G25" s="19">
        <f t="shared" si="1"/>
        <v>150</v>
      </c>
      <c r="H25" s="131" t="s">
        <v>651</v>
      </c>
      <c r="I25" s="144">
        <f>IF($P$1&lt;205,999,IF(($P$1-D25)&gt;=5,1.2,VLOOKUP(($P$1-D25),LEV_Force!$F$6:$H$86,2,FALSE)))</f>
        <v>1.2</v>
      </c>
      <c r="J25" s="144">
        <f t="shared" si="2"/>
        <v>1.5</v>
      </c>
      <c r="K25" s="18">
        <f t="shared" si="3"/>
        <v>68233333.333333328</v>
      </c>
      <c r="L25" s="145">
        <f>IF($P$1-D25&gt;40,0.7,VLOOKUP(($P$1-D25),LEV_Force!$F$6:$H$86,3,FALSE))</f>
        <v>0.72</v>
      </c>
      <c r="M25" s="19">
        <f t="shared" si="4"/>
        <v>182644.56</v>
      </c>
      <c r="N25" s="109"/>
      <c r="O25" s="109"/>
      <c r="P25" s="109"/>
      <c r="Q25" s="109"/>
      <c r="R25" s="109"/>
      <c r="S25" s="109"/>
      <c r="T25" s="109"/>
    </row>
    <row r="26" spans="1:20" s="194" customFormat="1">
      <c r="A26" s="7" t="s">
        <v>648</v>
      </c>
      <c r="B26" s="8">
        <v>126219600</v>
      </c>
      <c r="C26" s="8">
        <v>260047</v>
      </c>
      <c r="D26" s="9">
        <v>212</v>
      </c>
      <c r="E26" s="23">
        <f t="shared" si="0"/>
        <v>0.93174459462766468</v>
      </c>
      <c r="F26" s="9">
        <v>100</v>
      </c>
      <c r="G26" s="19">
        <f t="shared" si="1"/>
        <v>150</v>
      </c>
      <c r="H26" s="131" t="s">
        <v>651</v>
      </c>
      <c r="I26" s="144">
        <f>IF($P$1&lt;205,999,IF(($P$1-D26)&gt;=5,1.2,VLOOKUP(($P$1-D26),LEV_Force!$F$6:$H$86,2,FALSE)))</f>
        <v>1.2</v>
      </c>
      <c r="J26" s="144">
        <f t="shared" si="2"/>
        <v>1.5</v>
      </c>
      <c r="K26" s="18">
        <f t="shared" si="3"/>
        <v>70122000</v>
      </c>
      <c r="L26" s="145">
        <f>IF($P$1-D26&gt;40,0.7,VLOOKUP(($P$1-D26),LEV_Force!$F$6:$H$86,3,FALSE))</f>
        <v>0.73</v>
      </c>
      <c r="M26" s="19">
        <f t="shared" si="4"/>
        <v>189834.31</v>
      </c>
      <c r="N26" s="109"/>
      <c r="O26" s="109"/>
      <c r="P26" s="109"/>
      <c r="Q26" s="109"/>
      <c r="R26" s="109"/>
      <c r="S26" s="109"/>
      <c r="T26" s="109"/>
    </row>
    <row r="27" spans="1:20" s="194" customFormat="1">
      <c r="A27" s="7" t="s">
        <v>649</v>
      </c>
      <c r="B27" s="8">
        <v>129519600</v>
      </c>
      <c r="C27" s="8">
        <v>265808</v>
      </c>
      <c r="D27" s="9">
        <v>213</v>
      </c>
      <c r="E27" s="23">
        <f t="shared" si="0"/>
        <v>0.92812054576890168</v>
      </c>
      <c r="F27" s="9">
        <v>100</v>
      </c>
      <c r="G27" s="19">
        <f t="shared" si="1"/>
        <v>150</v>
      </c>
      <c r="H27" s="131" t="s">
        <v>651</v>
      </c>
      <c r="I27" s="144">
        <f>IF($P$1&lt;205,999,IF(($P$1-D27)&gt;=5,1.2,VLOOKUP(($P$1-D27),LEV_Force!$F$6:$H$86,2,FALSE)))</f>
        <v>1.2</v>
      </c>
      <c r="J27" s="144">
        <f t="shared" si="2"/>
        <v>1.5</v>
      </c>
      <c r="K27" s="18">
        <f t="shared" si="3"/>
        <v>71955333.333333328</v>
      </c>
      <c r="L27" s="145">
        <f>IF($P$1-D27&gt;40,0.7,VLOOKUP(($P$1-D27),LEV_Force!$F$6:$H$86,3,FALSE))</f>
        <v>0.74</v>
      </c>
      <c r="M27" s="19">
        <f t="shared" si="4"/>
        <v>196697.91999999998</v>
      </c>
      <c r="N27" s="109"/>
      <c r="O27" s="109"/>
      <c r="P27" s="109"/>
      <c r="Q27" s="109"/>
      <c r="R27" s="109"/>
      <c r="S27" s="109"/>
      <c r="T27" s="109"/>
    </row>
    <row r="28" spans="1:20" s="194" customFormat="1" ht="18" thickBot="1">
      <c r="A28" s="116" t="s">
        <v>650</v>
      </c>
      <c r="B28" s="8">
        <v>129519600</v>
      </c>
      <c r="C28" s="8">
        <v>265808</v>
      </c>
      <c r="D28" s="118">
        <v>213</v>
      </c>
      <c r="E28" s="23">
        <f t="shared" si="0"/>
        <v>0.92812054576890168</v>
      </c>
      <c r="F28" s="118">
        <v>100</v>
      </c>
      <c r="G28" s="19">
        <f t="shared" si="1"/>
        <v>150</v>
      </c>
      <c r="H28" s="134" t="s">
        <v>468</v>
      </c>
      <c r="I28" s="144">
        <f>IF($P$1&lt;205,999,IF(($P$1-D28)&gt;=5,1.2,VLOOKUP(($P$1-D28),LEV_Force!$F$6:$H$86,2,FALSE)))</f>
        <v>1.2</v>
      </c>
      <c r="J28" s="144">
        <f t="shared" si="2"/>
        <v>1.5</v>
      </c>
      <c r="K28" s="18">
        <f t="shared" si="3"/>
        <v>71955333.333333328</v>
      </c>
      <c r="L28" s="145">
        <f>IF($P$1-D28&gt;40,0.7,VLOOKUP(($P$1-D28),LEV_Force!$F$6:$H$86,3,FALSE))</f>
        <v>0.74</v>
      </c>
      <c r="M28" s="19">
        <f t="shared" si="4"/>
        <v>196697.91999999998</v>
      </c>
      <c r="N28" s="109"/>
      <c r="O28" s="109"/>
      <c r="P28" s="109"/>
      <c r="Q28" s="109"/>
      <c r="R28" s="109"/>
      <c r="S28" s="109"/>
      <c r="T28" s="109"/>
    </row>
    <row r="29" spans="1:20">
      <c r="A29" s="4" t="s">
        <v>51</v>
      </c>
      <c r="B29" s="5">
        <v>119599200</v>
      </c>
      <c r="C29" s="5">
        <v>248003</v>
      </c>
      <c r="D29" s="6">
        <v>210</v>
      </c>
      <c r="E29" s="25">
        <f>C29/B29*($B$2/$C$2)</f>
        <v>0.93777897840008639</v>
      </c>
      <c r="F29" s="6">
        <v>100</v>
      </c>
      <c r="G29" s="17">
        <f t="shared" si="1"/>
        <v>150</v>
      </c>
      <c r="H29" s="130"/>
      <c r="I29" s="144">
        <f>IF($P$1&lt;210,999,IF(($P$1-D29)&gt;=5,1.2,VLOOKUP(($P$1-D29),LEV_Force!$F$6:$H$86,2,FALSE)))</f>
        <v>1.2</v>
      </c>
      <c r="J29" s="144">
        <f t="shared" si="2"/>
        <v>1.5</v>
      </c>
      <c r="K29" s="16">
        <f t="shared" si="3"/>
        <v>66444000</v>
      </c>
      <c r="L29" s="150">
        <f>IF($P$1-D29&gt;40,0.7,VLOOKUP(($P$1-D29),LEV_Force!$F$6:$H$86,3,FALSE))</f>
        <v>0.71</v>
      </c>
      <c r="M29" s="17">
        <f t="shared" si="4"/>
        <v>176082.13</v>
      </c>
      <c r="N29" s="109"/>
      <c r="O29" s="109"/>
      <c r="P29" s="109"/>
      <c r="Q29" s="109"/>
      <c r="R29" s="109"/>
      <c r="S29" s="109"/>
      <c r="T29" s="109"/>
    </row>
    <row r="30" spans="1:20">
      <c r="A30" s="7" t="s">
        <v>52</v>
      </c>
      <c r="B30" s="8">
        <v>122820000</v>
      </c>
      <c r="C30" s="8">
        <v>253673</v>
      </c>
      <c r="D30" s="9">
        <v>211</v>
      </c>
      <c r="E30" s="23">
        <f t="shared" si="0"/>
        <v>0.93406475562657421</v>
      </c>
      <c r="F30" s="9">
        <v>100</v>
      </c>
      <c r="G30" s="19">
        <f t="shared" si="1"/>
        <v>150</v>
      </c>
      <c r="H30" s="131"/>
      <c r="I30" s="144">
        <f>IF($P$1&lt;210,999,IF(($P$1-D30)&gt;=5,1.2,VLOOKUP(($P$1-D30),LEV_Force!$F$6:$H$86,2,FALSE)))</f>
        <v>1.2</v>
      </c>
      <c r="J30" s="144">
        <f t="shared" si="2"/>
        <v>1.5</v>
      </c>
      <c r="K30" s="18">
        <f t="shared" si="3"/>
        <v>68233333.333333328</v>
      </c>
      <c r="L30" s="145">
        <f>IF($P$1-D30&gt;40,0.7,VLOOKUP(($P$1-D30),LEV_Force!$F$6:$H$86,3,FALSE))</f>
        <v>0.72</v>
      </c>
      <c r="M30" s="19">
        <f t="shared" si="4"/>
        <v>182644.56</v>
      </c>
      <c r="N30" s="109"/>
      <c r="O30" s="109"/>
      <c r="P30" s="109"/>
      <c r="Q30" s="109"/>
      <c r="R30" s="109"/>
      <c r="S30" s="109"/>
      <c r="T30" s="109"/>
    </row>
    <row r="31" spans="1:20">
      <c r="A31" s="7" t="s">
        <v>53</v>
      </c>
      <c r="B31" s="8">
        <v>119599200</v>
      </c>
      <c r="C31" s="8">
        <v>248003</v>
      </c>
      <c r="D31" s="9">
        <v>210</v>
      </c>
      <c r="E31" s="23">
        <f t="shared" si="0"/>
        <v>0.93777897840008639</v>
      </c>
      <c r="F31" s="9">
        <v>100</v>
      </c>
      <c r="G31" s="19">
        <f t="shared" si="1"/>
        <v>150</v>
      </c>
      <c r="H31" s="131"/>
      <c r="I31" s="144">
        <f>IF($P$1&lt;210,999,IF(($P$1-D31)&gt;=5,1.2,VLOOKUP(($P$1-D31),LEV_Force!$F$6:$H$86,2,FALSE)))</f>
        <v>1.2</v>
      </c>
      <c r="J31" s="144">
        <f t="shared" si="2"/>
        <v>1.5</v>
      </c>
      <c r="K31" s="18">
        <f t="shared" si="3"/>
        <v>66444000</v>
      </c>
      <c r="L31" s="145">
        <f>IF($P$1-D31&gt;40,0.7,VLOOKUP(($P$1-D31),LEV_Force!$F$6:$H$86,3,FALSE))</f>
        <v>0.71</v>
      </c>
      <c r="M31" s="19">
        <f t="shared" si="4"/>
        <v>176082.13</v>
      </c>
      <c r="N31" s="109"/>
      <c r="O31" s="109"/>
      <c r="P31" s="109"/>
      <c r="Q31" s="109"/>
      <c r="R31" s="109"/>
      <c r="S31" s="109"/>
      <c r="T31" s="109"/>
    </row>
    <row r="32" spans="1:20">
      <c r="A32" s="7" t="s">
        <v>54</v>
      </c>
      <c r="B32" s="8">
        <v>122820000</v>
      </c>
      <c r="C32" s="8">
        <v>253673</v>
      </c>
      <c r="D32" s="9">
        <v>211</v>
      </c>
      <c r="E32" s="23">
        <f t="shared" si="0"/>
        <v>0.93406475562657421</v>
      </c>
      <c r="F32" s="9">
        <v>100</v>
      </c>
      <c r="G32" s="19">
        <f t="shared" si="1"/>
        <v>150</v>
      </c>
      <c r="H32" s="131"/>
      <c r="I32" s="144">
        <f>IF($P$1&lt;210,999,IF(($P$1-D32)&gt;=5,1.2,VLOOKUP(($P$1-D32),LEV_Force!$F$6:$H$86,2,FALSE)))</f>
        <v>1.2</v>
      </c>
      <c r="J32" s="144">
        <f t="shared" si="2"/>
        <v>1.5</v>
      </c>
      <c r="K32" s="18">
        <f t="shared" si="3"/>
        <v>68233333.333333328</v>
      </c>
      <c r="L32" s="145">
        <f>IF($P$1-D32&gt;40,0.7,VLOOKUP(($P$1-D32),LEV_Force!$F$6:$H$86,3,FALSE))</f>
        <v>0.72</v>
      </c>
      <c r="M32" s="19">
        <f t="shared" si="4"/>
        <v>182644.56</v>
      </c>
      <c r="N32" s="109"/>
      <c r="O32" s="109"/>
      <c r="P32" s="109"/>
      <c r="Q32" s="109"/>
      <c r="R32" s="109"/>
      <c r="S32" s="109"/>
      <c r="T32" s="109"/>
    </row>
    <row r="33" spans="1:20">
      <c r="A33" s="7" t="s">
        <v>55</v>
      </c>
      <c r="B33" s="8">
        <v>126219600</v>
      </c>
      <c r="C33" s="8">
        <v>260047</v>
      </c>
      <c r="D33" s="9">
        <v>212</v>
      </c>
      <c r="E33" s="23">
        <f t="shared" si="0"/>
        <v>0.93174459462766468</v>
      </c>
      <c r="F33" s="9">
        <v>100</v>
      </c>
      <c r="G33" s="19">
        <f t="shared" si="1"/>
        <v>150</v>
      </c>
      <c r="H33" s="131"/>
      <c r="I33" s="144">
        <f>IF($P$1&lt;210,999,IF(($P$1-D33)&gt;=5,1.2,VLOOKUP(($P$1-D33),LEV_Force!$F$6:$H$86,2,FALSE)))</f>
        <v>1.2</v>
      </c>
      <c r="J33" s="144">
        <f t="shared" si="2"/>
        <v>1.5</v>
      </c>
      <c r="K33" s="18">
        <f t="shared" si="3"/>
        <v>70122000</v>
      </c>
      <c r="L33" s="145">
        <f>IF($P$1-D33&gt;40,0.7,VLOOKUP(($P$1-D33),LEV_Force!$F$6:$H$86,3,FALSE))</f>
        <v>0.73</v>
      </c>
      <c r="M33" s="19">
        <f t="shared" si="4"/>
        <v>189834.31</v>
      </c>
      <c r="N33" s="109"/>
      <c r="O33" s="109"/>
      <c r="P33" s="109"/>
      <c r="Q33" s="109"/>
      <c r="R33" s="109"/>
      <c r="S33" s="109"/>
      <c r="T33" s="109"/>
    </row>
    <row r="34" spans="1:20">
      <c r="A34" s="7" t="s">
        <v>56</v>
      </c>
      <c r="B34" s="8">
        <v>129519600</v>
      </c>
      <c r="C34" s="8">
        <v>265808</v>
      </c>
      <c r="D34" s="9">
        <v>213</v>
      </c>
      <c r="E34" s="23">
        <f t="shared" si="0"/>
        <v>0.92812054576890168</v>
      </c>
      <c r="F34" s="9">
        <v>100</v>
      </c>
      <c r="G34" s="19">
        <f t="shared" si="1"/>
        <v>150</v>
      </c>
      <c r="H34" s="131"/>
      <c r="I34" s="144">
        <f>IF($P$1&lt;210,999,IF(($P$1-D34)&gt;=5,1.2,VLOOKUP(($P$1-D34),LEV_Force!$F$6:$H$86,2,FALSE)))</f>
        <v>1.2</v>
      </c>
      <c r="J34" s="144">
        <f t="shared" si="2"/>
        <v>1.5</v>
      </c>
      <c r="K34" s="18">
        <f t="shared" si="3"/>
        <v>71955333.333333328</v>
      </c>
      <c r="L34" s="145">
        <f>IF($P$1-D34&gt;40,0.7,VLOOKUP(($P$1-D34),LEV_Force!$F$6:$H$86,3,FALSE))</f>
        <v>0.74</v>
      </c>
      <c r="M34" s="19">
        <f t="shared" si="4"/>
        <v>196697.91999999998</v>
      </c>
      <c r="N34" s="109"/>
      <c r="O34" s="109"/>
      <c r="P34" s="109"/>
      <c r="Q34" s="109"/>
      <c r="R34" s="109"/>
      <c r="S34" s="109"/>
      <c r="T34" s="109"/>
    </row>
    <row r="35" spans="1:20">
      <c r="A35" s="7" t="s">
        <v>57</v>
      </c>
      <c r="B35" s="8">
        <v>126219600</v>
      </c>
      <c r="C35" s="8">
        <v>260047</v>
      </c>
      <c r="D35" s="9">
        <v>212</v>
      </c>
      <c r="E35" s="23">
        <f t="shared" si="0"/>
        <v>0.93174459462766468</v>
      </c>
      <c r="F35" s="9">
        <v>100</v>
      </c>
      <c r="G35" s="19">
        <f t="shared" si="1"/>
        <v>150</v>
      </c>
      <c r="H35" s="131"/>
      <c r="I35" s="144">
        <f>IF($P$1&lt;210,999,IF(($P$1-D35)&gt;=5,1.2,VLOOKUP(($P$1-D35),LEV_Force!$F$6:$H$86,2,FALSE)))</f>
        <v>1.2</v>
      </c>
      <c r="J35" s="144">
        <f t="shared" si="2"/>
        <v>1.5</v>
      </c>
      <c r="K35" s="18">
        <f t="shared" si="3"/>
        <v>70122000</v>
      </c>
      <c r="L35" s="145">
        <f>IF($P$1-D35&gt;40,0.7,VLOOKUP(($P$1-D35),LEV_Force!$F$6:$H$86,3,FALSE))</f>
        <v>0.73</v>
      </c>
      <c r="M35" s="19">
        <f t="shared" si="4"/>
        <v>189834.31</v>
      </c>
      <c r="N35" s="109"/>
      <c r="O35" s="109"/>
      <c r="P35" s="109"/>
      <c r="Q35" s="109"/>
      <c r="R35" s="109"/>
      <c r="S35" s="109"/>
      <c r="T35" s="109"/>
    </row>
    <row r="36" spans="1:20">
      <c r="A36" s="7" t="s">
        <v>58</v>
      </c>
      <c r="B36" s="8">
        <v>129519600</v>
      </c>
      <c r="C36" s="8">
        <v>265808</v>
      </c>
      <c r="D36" s="9">
        <v>213</v>
      </c>
      <c r="E36" s="23">
        <f t="shared" si="0"/>
        <v>0.92812054576890168</v>
      </c>
      <c r="F36" s="9">
        <v>100</v>
      </c>
      <c r="G36" s="19">
        <f t="shared" si="1"/>
        <v>150</v>
      </c>
      <c r="H36" s="131"/>
      <c r="I36" s="144">
        <f>IF($P$1&lt;210,999,IF(($P$1-D36)&gt;=5,1.2,VLOOKUP(($P$1-D36),LEV_Force!$F$6:$H$86,2,FALSE)))</f>
        <v>1.2</v>
      </c>
      <c r="J36" s="144">
        <f t="shared" si="2"/>
        <v>1.5</v>
      </c>
      <c r="K36" s="18">
        <f t="shared" si="3"/>
        <v>71955333.333333328</v>
      </c>
      <c r="L36" s="145">
        <f>IF($P$1-D36&gt;40,0.7,VLOOKUP(($P$1-D36),LEV_Force!$F$6:$H$86,3,FALSE))</f>
        <v>0.74</v>
      </c>
      <c r="M36" s="19">
        <f t="shared" si="4"/>
        <v>196697.91999999998</v>
      </c>
      <c r="N36" s="109"/>
      <c r="O36" s="109"/>
      <c r="P36" s="109"/>
      <c r="Q36" s="109"/>
      <c r="R36" s="109"/>
      <c r="S36" s="109"/>
      <c r="T36" s="109"/>
    </row>
    <row r="37" spans="1:20">
      <c r="A37" s="7" t="s">
        <v>59</v>
      </c>
      <c r="B37" s="8">
        <v>133003200</v>
      </c>
      <c r="C37" s="8">
        <v>271621</v>
      </c>
      <c r="D37" s="9">
        <v>214</v>
      </c>
      <c r="E37" s="23">
        <f t="shared" si="0"/>
        <v>0.92357695362515269</v>
      </c>
      <c r="F37" s="9">
        <v>130</v>
      </c>
      <c r="G37" s="19">
        <f t="shared" si="1"/>
        <v>195</v>
      </c>
      <c r="H37" s="131"/>
      <c r="I37" s="144">
        <f>IF($P$1&lt;210,999,IF(($P$1-D37)&gt;=5,1.2,VLOOKUP(($P$1-D37),LEV_Force!$F$6:$H$86,2,FALSE)))</f>
        <v>1.2</v>
      </c>
      <c r="J37" s="144">
        <f t="shared" si="2"/>
        <v>1.5</v>
      </c>
      <c r="K37" s="18">
        <f t="shared" si="3"/>
        <v>73890666.666666672</v>
      </c>
      <c r="L37" s="145">
        <f>IF($P$1-D37&gt;40,0.7,VLOOKUP(($P$1-D37),LEV_Force!$F$6:$H$86,3,FALSE))</f>
        <v>0.75</v>
      </c>
      <c r="M37" s="19">
        <f t="shared" si="4"/>
        <v>203715.75</v>
      </c>
      <c r="N37" s="109"/>
      <c r="O37" s="109"/>
      <c r="P37" s="109"/>
      <c r="Q37" s="109"/>
      <c r="R37" s="109"/>
      <c r="S37" s="109"/>
      <c r="T37" s="109"/>
    </row>
    <row r="38" spans="1:20">
      <c r="A38" s="7" t="s">
        <v>60</v>
      </c>
      <c r="B38" s="8">
        <v>139950000</v>
      </c>
      <c r="C38" s="8">
        <v>284043</v>
      </c>
      <c r="D38" s="9">
        <v>216</v>
      </c>
      <c r="E38" s="23">
        <f t="shared" si="0"/>
        <v>0.91787390187329621</v>
      </c>
      <c r="F38" s="9">
        <v>130</v>
      </c>
      <c r="G38" s="19">
        <f t="shared" si="1"/>
        <v>195</v>
      </c>
      <c r="H38" s="131"/>
      <c r="I38" s="144">
        <f>IF($P$1&lt;210,999,IF(($P$1-D38)&gt;=5,1.2,VLOOKUP(($P$1-D38),LEV_Force!$F$6:$H$86,2,FALSE)))</f>
        <v>1.2</v>
      </c>
      <c r="J38" s="144">
        <f t="shared" si="2"/>
        <v>1.5</v>
      </c>
      <c r="K38" s="18">
        <f t="shared" si="3"/>
        <v>77750000</v>
      </c>
      <c r="L38" s="145">
        <f>IF($P$1-D38&gt;40,0.7,VLOOKUP(($P$1-D38),LEV_Force!$F$6:$H$86,3,FALSE))</f>
        <v>0.77</v>
      </c>
      <c r="M38" s="19">
        <f t="shared" si="4"/>
        <v>218713.11000000002</v>
      </c>
      <c r="N38" s="109"/>
      <c r="O38" s="109"/>
      <c r="P38" s="109"/>
      <c r="Q38" s="109"/>
      <c r="R38" s="109"/>
      <c r="S38" s="109"/>
      <c r="T38" s="109"/>
    </row>
    <row r="39" spans="1:20">
      <c r="A39" s="7" t="s">
        <v>61</v>
      </c>
      <c r="B39" s="8">
        <v>136530000</v>
      </c>
      <c r="C39" s="8">
        <v>278138</v>
      </c>
      <c r="D39" s="9">
        <v>215</v>
      </c>
      <c r="E39" s="23">
        <f t="shared" si="0"/>
        <v>0.9213063632494386</v>
      </c>
      <c r="F39" s="9">
        <v>130</v>
      </c>
      <c r="G39" s="19">
        <f t="shared" si="1"/>
        <v>195</v>
      </c>
      <c r="H39" s="131"/>
      <c r="I39" s="144">
        <f>IF($P$1&lt;210,999,IF(($P$1-D39)&gt;=5,1.2,VLOOKUP(($P$1-D39),LEV_Force!$F$6:$H$86,2,FALSE)))</f>
        <v>1.2</v>
      </c>
      <c r="J39" s="144">
        <f t="shared" si="2"/>
        <v>1.5</v>
      </c>
      <c r="K39" s="18">
        <f t="shared" si="3"/>
        <v>75850000</v>
      </c>
      <c r="L39" s="145">
        <f>IF($P$1-D39&gt;40,0.7,VLOOKUP(($P$1-D39),LEV_Force!$F$6:$H$86,3,FALSE))</f>
        <v>0.76</v>
      </c>
      <c r="M39" s="19">
        <f t="shared" si="4"/>
        <v>211384.88</v>
      </c>
      <c r="N39" s="109"/>
      <c r="O39" s="109"/>
      <c r="P39" s="109"/>
      <c r="Q39" s="109"/>
      <c r="R39" s="109"/>
      <c r="S39" s="109"/>
      <c r="T39" s="109"/>
    </row>
    <row r="40" spans="1:20">
      <c r="A40" s="7" t="s">
        <v>62</v>
      </c>
      <c r="B40" s="8">
        <v>139950000</v>
      </c>
      <c r="C40" s="8">
        <v>284043</v>
      </c>
      <c r="D40" s="9">
        <v>216</v>
      </c>
      <c r="E40" s="23">
        <f t="shared" si="0"/>
        <v>0.91787390187329621</v>
      </c>
      <c r="F40" s="9">
        <v>130</v>
      </c>
      <c r="G40" s="19">
        <f t="shared" si="1"/>
        <v>195</v>
      </c>
      <c r="H40" s="131"/>
      <c r="I40" s="144">
        <f>IF($P$1&lt;210,999,IF(($P$1-D40)&gt;=5,1.2,VLOOKUP(($P$1-D40),LEV_Force!$F$6:$H$86,2,FALSE)))</f>
        <v>1.2</v>
      </c>
      <c r="J40" s="144">
        <f t="shared" si="2"/>
        <v>1.5</v>
      </c>
      <c r="K40" s="18">
        <f t="shared" si="3"/>
        <v>77750000</v>
      </c>
      <c r="L40" s="145">
        <f>IF($P$1-D40&gt;40,0.7,VLOOKUP(($P$1-D40),LEV_Force!$F$6:$H$86,3,FALSE))</f>
        <v>0.77</v>
      </c>
      <c r="M40" s="19">
        <f t="shared" si="4"/>
        <v>218713.11000000002</v>
      </c>
      <c r="N40" s="109"/>
      <c r="O40" s="109"/>
      <c r="P40" s="109"/>
      <c r="Q40" s="109"/>
      <c r="R40" s="109"/>
      <c r="S40" s="109"/>
      <c r="T40" s="109"/>
    </row>
    <row r="41" spans="1:20">
      <c r="A41" s="7" t="s">
        <v>63</v>
      </c>
      <c r="B41" s="8">
        <v>143560800</v>
      </c>
      <c r="C41" s="8">
        <v>290679</v>
      </c>
      <c r="D41" s="9">
        <v>217</v>
      </c>
      <c r="E41" s="23">
        <f t="shared" si="0"/>
        <v>0.91569242423943431</v>
      </c>
      <c r="F41" s="9">
        <v>160</v>
      </c>
      <c r="G41" s="19">
        <f t="shared" si="1"/>
        <v>240</v>
      </c>
      <c r="H41" s="131"/>
      <c r="I41" s="144">
        <f>IF($P$1&lt;210,999,IF(($P$1-D41)&gt;=5,1.2,VLOOKUP(($P$1-D41),LEV_Force!$F$6:$H$86,2,FALSE)))</f>
        <v>1.2</v>
      </c>
      <c r="J41" s="144">
        <f t="shared" si="2"/>
        <v>1.5</v>
      </c>
      <c r="K41" s="18">
        <f t="shared" si="3"/>
        <v>79756000</v>
      </c>
      <c r="L41" s="145">
        <f>IF($P$1-D41&gt;40,0.7,VLOOKUP(($P$1-D41),LEV_Force!$F$6:$H$86,3,FALSE))</f>
        <v>0.78</v>
      </c>
      <c r="M41" s="19">
        <f t="shared" si="4"/>
        <v>226729.62</v>
      </c>
      <c r="N41" s="109"/>
      <c r="O41" s="109"/>
      <c r="P41" s="109"/>
      <c r="Q41" s="109"/>
      <c r="R41" s="109"/>
      <c r="S41" s="109"/>
      <c r="T41" s="109"/>
    </row>
    <row r="42" spans="1:20">
      <c r="A42" s="7" t="s">
        <v>64</v>
      </c>
      <c r="B42" s="8">
        <v>150754800</v>
      </c>
      <c r="C42" s="8">
        <v>303394</v>
      </c>
      <c r="D42" s="9">
        <v>219</v>
      </c>
      <c r="E42" s="23">
        <f t="shared" si="0"/>
        <v>0.91013889083104593</v>
      </c>
      <c r="F42" s="9">
        <v>160</v>
      </c>
      <c r="G42" s="19">
        <f t="shared" si="1"/>
        <v>240</v>
      </c>
      <c r="H42" s="131"/>
      <c r="I42" s="144">
        <f>IF($P$1&lt;210,999,IF(($P$1-D42)&gt;=5,1.2,VLOOKUP(($P$1-D42),LEV_Force!$F$6:$H$86,2,FALSE)))</f>
        <v>1.2</v>
      </c>
      <c r="J42" s="144">
        <f t="shared" si="2"/>
        <v>1.5</v>
      </c>
      <c r="K42" s="18">
        <f t="shared" si="3"/>
        <v>83752666.666666672</v>
      </c>
      <c r="L42" s="145">
        <f>IF($P$1-D42&gt;40,0.7,VLOOKUP(($P$1-D42),LEV_Force!$F$6:$H$86,3,FALSE))</f>
        <v>0.8</v>
      </c>
      <c r="M42" s="19">
        <f t="shared" si="4"/>
        <v>242715.2</v>
      </c>
      <c r="N42" s="109"/>
      <c r="O42" s="109"/>
      <c r="P42" s="109"/>
      <c r="Q42" s="109"/>
      <c r="R42" s="109"/>
      <c r="S42" s="109"/>
      <c r="T42" s="109"/>
    </row>
    <row r="43" spans="1:20">
      <c r="A43" s="7" t="s">
        <v>65</v>
      </c>
      <c r="B43" s="8">
        <v>147060000</v>
      </c>
      <c r="C43" s="8">
        <v>296653</v>
      </c>
      <c r="D43" s="9">
        <v>218</v>
      </c>
      <c r="E43" s="23">
        <f t="shared" si="0"/>
        <v>0.91227551024102882</v>
      </c>
      <c r="F43" s="9">
        <v>160</v>
      </c>
      <c r="G43" s="19">
        <f t="shared" si="1"/>
        <v>240</v>
      </c>
      <c r="H43" s="131" t="s">
        <v>652</v>
      </c>
      <c r="I43" s="144">
        <f>IF($P$1&lt;210,999,IF(($P$1-D43)&gt;=5,1.2,VLOOKUP(($P$1-D43),LEV_Force!$F$6:$H$86,2,FALSE)))</f>
        <v>1.2</v>
      </c>
      <c r="J43" s="144">
        <f t="shared" si="2"/>
        <v>1.5</v>
      </c>
      <c r="K43" s="18">
        <f t="shared" si="3"/>
        <v>81700000</v>
      </c>
      <c r="L43" s="145">
        <f>IF($P$1-D43&gt;40,0.7,VLOOKUP(($P$1-D43),LEV_Force!$F$6:$H$86,3,FALSE))</f>
        <v>0.79</v>
      </c>
      <c r="M43" s="19">
        <f t="shared" si="4"/>
        <v>234355.87000000002</v>
      </c>
      <c r="N43" s="109"/>
      <c r="O43" s="109"/>
      <c r="P43" s="109"/>
      <c r="Q43" s="109"/>
      <c r="R43" s="109"/>
      <c r="S43" s="109"/>
      <c r="T43" s="109"/>
    </row>
    <row r="44" spans="1:20" ht="18" thickBot="1">
      <c r="A44" s="10" t="s">
        <v>66</v>
      </c>
      <c r="B44" s="11">
        <v>150754800</v>
      </c>
      <c r="C44" s="11">
        <v>303394</v>
      </c>
      <c r="D44" s="12">
        <v>219</v>
      </c>
      <c r="E44" s="24">
        <f t="shared" si="0"/>
        <v>0.91013889083104593</v>
      </c>
      <c r="F44" s="12">
        <v>160</v>
      </c>
      <c r="G44" s="21">
        <f t="shared" si="1"/>
        <v>240</v>
      </c>
      <c r="H44" s="132"/>
      <c r="I44" s="144">
        <f>IF($P$1&lt;210,999,IF(($P$1-D44)&gt;=5,1.2,VLOOKUP(($P$1-D44),LEV_Force!$F$6:$H$86,2,FALSE)))</f>
        <v>1.2</v>
      </c>
      <c r="J44" s="144">
        <f t="shared" si="2"/>
        <v>1.5</v>
      </c>
      <c r="K44" s="18">
        <f t="shared" si="3"/>
        <v>83752666.666666672</v>
      </c>
      <c r="L44" s="145">
        <f>IF($P$1-D44&gt;40,0.7,VLOOKUP(($P$1-D44),LEV_Force!$F$6:$H$86,3,FALSE))</f>
        <v>0.8</v>
      </c>
      <c r="M44" s="19">
        <f t="shared" si="4"/>
        <v>242715.2</v>
      </c>
      <c r="N44" s="109"/>
      <c r="O44" s="109"/>
      <c r="P44" s="109"/>
      <c r="Q44" s="109"/>
      <c r="R44" s="109"/>
      <c r="S44" s="109"/>
      <c r="T44" s="109"/>
    </row>
    <row r="45" spans="1:20">
      <c r="A45" s="4" t="s">
        <v>67</v>
      </c>
      <c r="B45" s="5">
        <v>187966240</v>
      </c>
      <c r="C45" s="5">
        <v>309470</v>
      </c>
      <c r="D45" s="6">
        <v>220</v>
      </c>
      <c r="E45" s="25">
        <f t="shared" si="0"/>
        <v>0.74457857326739718</v>
      </c>
      <c r="F45" s="6">
        <v>190</v>
      </c>
      <c r="G45" s="17">
        <f t="shared" si="1"/>
        <v>285</v>
      </c>
      <c r="H45" s="130"/>
      <c r="I45" s="144">
        <f>IF($P$1&lt;220,999,IF(($P$1-D45)&gt;=5,1.2,VLOOKUP(($P$1-D45),LEV_Force!$F$6:$H$86,2,FALSE)))</f>
        <v>1.2</v>
      </c>
      <c r="J45" s="144">
        <f t="shared" si="2"/>
        <v>1.5</v>
      </c>
      <c r="K45" s="18">
        <f t="shared" si="3"/>
        <v>104425688.8888889</v>
      </c>
      <c r="L45" s="145">
        <f>IF($P$1-D45&gt;40,0.7,VLOOKUP(($P$1-D45),LEV_Force!$F$6:$H$86,3,FALSE))</f>
        <v>0.81</v>
      </c>
      <c r="M45" s="19">
        <f t="shared" si="4"/>
        <v>250670.7</v>
      </c>
      <c r="N45" s="109"/>
      <c r="O45" s="109"/>
      <c r="P45" s="109"/>
      <c r="Q45" s="109"/>
      <c r="R45" s="109"/>
      <c r="S45" s="109"/>
      <c r="T45" s="109"/>
    </row>
    <row r="46" spans="1:20">
      <c r="A46" s="7" t="s">
        <v>68</v>
      </c>
      <c r="B46" s="8">
        <v>192566700</v>
      </c>
      <c r="C46" s="8">
        <v>316316</v>
      </c>
      <c r="D46" s="9">
        <v>221</v>
      </c>
      <c r="E46" s="23">
        <f t="shared" si="0"/>
        <v>0.7428682645435235</v>
      </c>
      <c r="F46" s="9">
        <v>190</v>
      </c>
      <c r="G46" s="19">
        <f t="shared" si="1"/>
        <v>285</v>
      </c>
      <c r="H46" s="131"/>
      <c r="I46" s="144">
        <f>IF($P$1&lt;220,999,IF(($P$1-D46)&gt;=5,1.2,VLOOKUP(($P$1-D46),LEV_Force!$F$6:$H$86,2,FALSE)))</f>
        <v>1.2</v>
      </c>
      <c r="J46" s="144">
        <f t="shared" si="2"/>
        <v>1.5</v>
      </c>
      <c r="K46" s="18">
        <f t="shared" si="3"/>
        <v>106981500</v>
      </c>
      <c r="L46" s="145">
        <f>IF($P$1-D46&gt;40,0.7,VLOOKUP(($P$1-D46),LEV_Force!$F$6:$H$86,3,FALSE))</f>
        <v>0.82000000000000006</v>
      </c>
      <c r="M46" s="19">
        <f t="shared" si="4"/>
        <v>259379.12000000002</v>
      </c>
      <c r="N46" s="109"/>
      <c r="O46" s="109"/>
      <c r="P46" s="109"/>
      <c r="Q46" s="109"/>
      <c r="R46" s="109"/>
      <c r="S46" s="109"/>
      <c r="T46" s="109"/>
    </row>
    <row r="47" spans="1:20">
      <c r="A47" s="7" t="s">
        <v>69</v>
      </c>
      <c r="B47" s="8">
        <v>192566700</v>
      </c>
      <c r="C47" s="8">
        <v>316316</v>
      </c>
      <c r="D47" s="9">
        <v>221</v>
      </c>
      <c r="E47" s="23">
        <f t="shared" si="0"/>
        <v>0.7428682645435235</v>
      </c>
      <c r="F47" s="9">
        <v>210</v>
      </c>
      <c r="G47" s="19">
        <f t="shared" si="1"/>
        <v>315</v>
      </c>
      <c r="H47" s="131"/>
      <c r="I47" s="144">
        <f>IF($P$1&lt;220,999,IF(($P$1-D47)&gt;=5,1.2,VLOOKUP(($P$1-D47),LEV_Force!$F$6:$H$86,2,FALSE)))</f>
        <v>1.2</v>
      </c>
      <c r="J47" s="144">
        <f t="shared" si="2"/>
        <v>1.5</v>
      </c>
      <c r="K47" s="18">
        <f t="shared" si="3"/>
        <v>106981500</v>
      </c>
      <c r="L47" s="145">
        <f>IF($P$1-D47&gt;40,0.7,VLOOKUP(($P$1-D47),LEV_Force!$F$6:$H$86,3,FALSE))</f>
        <v>0.82000000000000006</v>
      </c>
      <c r="M47" s="19">
        <f t="shared" si="4"/>
        <v>259379.12000000002</v>
      </c>
      <c r="N47" s="109"/>
      <c r="O47" s="109"/>
      <c r="P47" s="109"/>
      <c r="Q47" s="109"/>
      <c r="R47" s="109"/>
      <c r="S47" s="109"/>
      <c r="T47" s="109"/>
    </row>
    <row r="48" spans="1:20">
      <c r="A48" s="7" t="s">
        <v>70</v>
      </c>
      <c r="B48" s="8">
        <v>197219720</v>
      </c>
      <c r="C48" s="8">
        <v>322473</v>
      </c>
      <c r="D48" s="9">
        <v>222</v>
      </c>
      <c r="E48" s="23">
        <f t="shared" si="0"/>
        <v>0.7394602845059155</v>
      </c>
      <c r="F48" s="9">
        <v>210</v>
      </c>
      <c r="G48" s="19">
        <f t="shared" si="1"/>
        <v>315</v>
      </c>
      <c r="H48" s="131"/>
      <c r="I48" s="144">
        <f>IF($P$1&lt;220,999,IF(($P$1-D48)&gt;=5,1.2,VLOOKUP(($P$1-D48),LEV_Force!$F$6:$H$86,2,FALSE)))</f>
        <v>1.2</v>
      </c>
      <c r="J48" s="144">
        <f t="shared" si="2"/>
        <v>1.5</v>
      </c>
      <c r="K48" s="18">
        <f t="shared" si="3"/>
        <v>109566511.11111112</v>
      </c>
      <c r="L48" s="145">
        <f>IF($P$1-D48&gt;40,0.7,VLOOKUP(($P$1-D48),LEV_Force!$F$6:$H$86,3,FALSE))</f>
        <v>0.83000000000000007</v>
      </c>
      <c r="M48" s="19">
        <f t="shared" si="4"/>
        <v>267652.59000000003</v>
      </c>
      <c r="N48" s="109"/>
      <c r="O48" s="109"/>
      <c r="P48" s="109"/>
      <c r="Q48" s="109"/>
      <c r="R48" s="109"/>
      <c r="S48" s="109"/>
      <c r="T48" s="109"/>
    </row>
    <row r="49" spans="1:20">
      <c r="A49" s="7" t="s">
        <v>71</v>
      </c>
      <c r="B49" s="8">
        <v>197219720</v>
      </c>
      <c r="C49" s="8">
        <v>322473</v>
      </c>
      <c r="D49" s="9">
        <v>222</v>
      </c>
      <c r="E49" s="23">
        <f t="shared" si="0"/>
        <v>0.7394602845059155</v>
      </c>
      <c r="F49" s="9">
        <v>210</v>
      </c>
      <c r="G49" s="19">
        <f t="shared" si="1"/>
        <v>315</v>
      </c>
      <c r="H49" s="131"/>
      <c r="I49" s="144">
        <f>IF($P$1&lt;220,999,IF(($P$1-D49)&gt;=5,1.2,VLOOKUP(($P$1-D49),LEV_Force!$F$6:$H$86,2,FALSE)))</f>
        <v>1.2</v>
      </c>
      <c r="J49" s="144">
        <f t="shared" si="2"/>
        <v>1.5</v>
      </c>
      <c r="K49" s="18">
        <f t="shared" si="3"/>
        <v>109566511.11111112</v>
      </c>
      <c r="L49" s="145">
        <f>IF($P$1-D49&gt;40,0.7,VLOOKUP(($P$1-D49),LEV_Force!$F$6:$H$86,3,FALSE))</f>
        <v>0.83000000000000007</v>
      </c>
      <c r="M49" s="19">
        <f t="shared" si="4"/>
        <v>267652.59000000003</v>
      </c>
      <c r="N49" s="109"/>
      <c r="O49" s="109"/>
      <c r="P49" s="109"/>
      <c r="Q49" s="109"/>
      <c r="R49" s="109"/>
      <c r="S49" s="109"/>
      <c r="T49" s="109"/>
    </row>
    <row r="50" spans="1:20">
      <c r="A50" s="7" t="s">
        <v>72</v>
      </c>
      <c r="B50" s="8">
        <v>201925300</v>
      </c>
      <c r="C50" s="8">
        <v>329417</v>
      </c>
      <c r="D50" s="9">
        <v>223</v>
      </c>
      <c r="E50" s="23">
        <f t="shared" si="0"/>
        <v>0.73778038467484675</v>
      </c>
      <c r="F50" s="9">
        <v>210</v>
      </c>
      <c r="G50" s="19">
        <f t="shared" si="1"/>
        <v>315</v>
      </c>
      <c r="H50" s="131"/>
      <c r="I50" s="144">
        <f>IF($P$1&lt;220,999,IF(($P$1-D50)&gt;=5,1.2,VLOOKUP(($P$1-D50),LEV_Force!$F$6:$H$86,2,FALSE)))</f>
        <v>1.2</v>
      </c>
      <c r="J50" s="144">
        <f t="shared" si="2"/>
        <v>1.5</v>
      </c>
      <c r="K50" s="18">
        <f t="shared" si="3"/>
        <v>112180722.22222222</v>
      </c>
      <c r="L50" s="145">
        <f>IF($P$1-D50&gt;40,0.7,VLOOKUP(($P$1-D50),LEV_Force!$F$6:$H$86,3,FALSE))</f>
        <v>0.84000000000000008</v>
      </c>
      <c r="M50" s="19">
        <f t="shared" si="4"/>
        <v>276710.28000000003</v>
      </c>
      <c r="N50" s="109"/>
      <c r="O50" s="109"/>
      <c r="P50" s="109"/>
      <c r="Q50" s="109"/>
      <c r="R50" s="109"/>
      <c r="S50" s="109"/>
      <c r="T50" s="109"/>
    </row>
    <row r="51" spans="1:20">
      <c r="A51" s="7" t="s">
        <v>73</v>
      </c>
      <c r="B51" s="8">
        <v>211494140</v>
      </c>
      <c r="C51" s="8">
        <v>342720</v>
      </c>
      <c r="D51" s="9">
        <v>225</v>
      </c>
      <c r="E51" s="23">
        <f t="shared" si="0"/>
        <v>0.73284637514359219</v>
      </c>
      <c r="F51" s="9">
        <v>210</v>
      </c>
      <c r="G51" s="19">
        <f t="shared" si="1"/>
        <v>315</v>
      </c>
      <c r="H51" s="131"/>
      <c r="I51" s="144">
        <f>IF($P$1&lt;220,999,IF(($P$1-D51)&gt;=5,1.2,VLOOKUP(($P$1-D51),LEV_Force!$F$6:$H$86,2,FALSE)))</f>
        <v>1.2</v>
      </c>
      <c r="J51" s="144">
        <f t="shared" si="2"/>
        <v>1.5</v>
      </c>
      <c r="K51" s="18">
        <f t="shared" si="3"/>
        <v>117496744.44444446</v>
      </c>
      <c r="L51" s="145">
        <f>IF($P$1-D51&gt;40,0.7,VLOOKUP(($P$1-D51),LEV_Force!$F$6:$H$86,3,FALSE))</f>
        <v>0.8600000000000001</v>
      </c>
      <c r="M51" s="19">
        <f t="shared" si="4"/>
        <v>294739.20000000001</v>
      </c>
      <c r="N51" s="109"/>
      <c r="O51" s="109"/>
      <c r="P51" s="109"/>
      <c r="Q51" s="109"/>
      <c r="R51" s="109"/>
      <c r="S51" s="109"/>
      <c r="T51" s="109"/>
    </row>
    <row r="52" spans="1:20">
      <c r="A52" s="7" t="s">
        <v>74</v>
      </c>
      <c r="B52" s="8">
        <v>201925300</v>
      </c>
      <c r="C52" s="8">
        <v>329417</v>
      </c>
      <c r="D52" s="9">
        <v>223</v>
      </c>
      <c r="E52" s="23">
        <f t="shared" si="0"/>
        <v>0.73778038467484675</v>
      </c>
      <c r="F52" s="9">
        <v>210</v>
      </c>
      <c r="G52" s="19">
        <f t="shared" si="1"/>
        <v>315</v>
      </c>
      <c r="H52" s="131"/>
      <c r="I52" s="144">
        <f>IF($P$1&lt;220,999,IF(($P$1-D52)&gt;=5,1.2,VLOOKUP(($P$1-D52),LEV_Force!$F$6:$H$86,2,FALSE)))</f>
        <v>1.2</v>
      </c>
      <c r="J52" s="144">
        <f t="shared" si="2"/>
        <v>1.5</v>
      </c>
      <c r="K52" s="18">
        <f t="shared" si="3"/>
        <v>112180722.22222222</v>
      </c>
      <c r="L52" s="145">
        <f>IF($P$1-D52&gt;40,0.7,VLOOKUP(($P$1-D52),LEV_Force!$F$6:$H$86,3,FALSE))</f>
        <v>0.84000000000000008</v>
      </c>
      <c r="M52" s="19">
        <f t="shared" si="4"/>
        <v>276710.28000000003</v>
      </c>
      <c r="N52" s="109"/>
      <c r="O52" s="109"/>
      <c r="P52" s="109"/>
      <c r="Q52" s="109"/>
      <c r="R52" s="109"/>
      <c r="S52" s="109"/>
      <c r="T52" s="109"/>
    </row>
    <row r="53" spans="1:20">
      <c r="A53" s="7" t="s">
        <v>75</v>
      </c>
      <c r="B53" s="8">
        <v>206683440</v>
      </c>
      <c r="C53" s="8">
        <v>335675</v>
      </c>
      <c r="D53" s="9">
        <v>224</v>
      </c>
      <c r="E53" s="23">
        <f t="shared" si="0"/>
        <v>0.73448875281926818</v>
      </c>
      <c r="F53" s="9">
        <v>210</v>
      </c>
      <c r="G53" s="19">
        <f t="shared" si="1"/>
        <v>315</v>
      </c>
      <c r="H53" s="131"/>
      <c r="I53" s="144">
        <f>IF($P$1&lt;220,999,IF(($P$1-D53)&gt;=5,1.2,VLOOKUP(($P$1-D53),LEV_Force!$F$6:$H$86,2,FALSE)))</f>
        <v>1.2</v>
      </c>
      <c r="J53" s="144">
        <f t="shared" si="2"/>
        <v>1.5</v>
      </c>
      <c r="K53" s="18">
        <f t="shared" si="3"/>
        <v>114824133.33333333</v>
      </c>
      <c r="L53" s="145">
        <f>IF($P$1-D53&gt;40,0.7,VLOOKUP(($P$1-D53),LEV_Force!$F$6:$H$86,3,FALSE))</f>
        <v>0.85000000000000009</v>
      </c>
      <c r="M53" s="19">
        <f t="shared" si="4"/>
        <v>285323.75000000006</v>
      </c>
      <c r="N53" s="109"/>
      <c r="O53" s="109"/>
      <c r="P53" s="109"/>
      <c r="Q53" s="109"/>
      <c r="R53" s="109"/>
      <c r="S53" s="109"/>
      <c r="T53" s="109"/>
    </row>
    <row r="54" spans="1:20">
      <c r="A54" s="7" t="s">
        <v>76</v>
      </c>
      <c r="B54" s="8">
        <v>206683440</v>
      </c>
      <c r="C54" s="8">
        <v>335675</v>
      </c>
      <c r="D54" s="9">
        <v>224</v>
      </c>
      <c r="E54" s="23">
        <f t="shared" si="0"/>
        <v>0.73448875281926818</v>
      </c>
      <c r="F54" s="9">
        <v>210</v>
      </c>
      <c r="G54" s="19">
        <f t="shared" si="1"/>
        <v>315</v>
      </c>
      <c r="H54" s="131"/>
      <c r="I54" s="144">
        <f>IF($P$1&lt;220,999,IF(($P$1-D54)&gt;=5,1.2,VLOOKUP(($P$1-D54),LEV_Force!$F$6:$H$86,2,FALSE)))</f>
        <v>1.2</v>
      </c>
      <c r="J54" s="144">
        <f t="shared" si="2"/>
        <v>1.5</v>
      </c>
      <c r="K54" s="18">
        <f t="shared" si="3"/>
        <v>114824133.33333333</v>
      </c>
      <c r="L54" s="145">
        <f>IF($P$1-D54&gt;40,0.7,VLOOKUP(($P$1-D54),LEV_Force!$F$6:$H$86,3,FALSE))</f>
        <v>0.85000000000000009</v>
      </c>
      <c r="M54" s="19">
        <f t="shared" si="4"/>
        <v>285323.75000000006</v>
      </c>
      <c r="N54" s="109"/>
      <c r="O54" s="109"/>
      <c r="P54" s="109"/>
      <c r="Q54" s="109"/>
      <c r="R54" s="109"/>
      <c r="S54" s="109"/>
      <c r="T54" s="109"/>
    </row>
    <row r="55" spans="1:20">
      <c r="A55" s="7" t="s">
        <v>77</v>
      </c>
      <c r="B55" s="8">
        <v>216357400</v>
      </c>
      <c r="C55" s="8">
        <v>349836</v>
      </c>
      <c r="D55" s="9">
        <v>226</v>
      </c>
      <c r="E55" s="23">
        <f t="shared" si="0"/>
        <v>0.7312478098912103</v>
      </c>
      <c r="F55" s="9">
        <v>240</v>
      </c>
      <c r="G55" s="19">
        <f t="shared" si="1"/>
        <v>360</v>
      </c>
      <c r="H55" s="131"/>
      <c r="I55" s="144">
        <f>IF($P$1&lt;220,999,IF(($P$1-D55)&gt;=5,1.2,VLOOKUP(($P$1-D55),LEV_Force!$F$6:$H$86,2,FALSE)))</f>
        <v>1.2</v>
      </c>
      <c r="J55" s="144">
        <f t="shared" si="2"/>
        <v>1.5</v>
      </c>
      <c r="K55" s="18">
        <f t="shared" si="3"/>
        <v>120198555.55555557</v>
      </c>
      <c r="L55" s="145">
        <f>IF($P$1-D55&gt;40,0.7,VLOOKUP(($P$1-D55),LEV_Force!$F$6:$H$86,3,FALSE))</f>
        <v>0.87000000000000011</v>
      </c>
      <c r="M55" s="19">
        <f t="shared" si="4"/>
        <v>304357.32000000007</v>
      </c>
      <c r="N55" s="109"/>
      <c r="O55" s="109"/>
      <c r="P55" s="109"/>
      <c r="Q55" s="109"/>
      <c r="R55" s="109"/>
      <c r="S55" s="109"/>
      <c r="T55" s="109"/>
    </row>
    <row r="56" spans="1:20">
      <c r="A56" s="7" t="s">
        <v>653</v>
      </c>
      <c r="B56" s="8">
        <v>221273220</v>
      </c>
      <c r="C56" s="8">
        <v>356216</v>
      </c>
      <c r="D56" s="9">
        <v>227</v>
      </c>
      <c r="E56" s="23">
        <f t="shared" si="0"/>
        <v>0.72804194340210904</v>
      </c>
      <c r="F56" s="9">
        <v>240</v>
      </c>
      <c r="G56" s="19">
        <f t="shared" si="1"/>
        <v>360</v>
      </c>
      <c r="H56" s="131"/>
      <c r="I56" s="144">
        <f>IF($P$1&lt;220,999,IF(($P$1-D56)&gt;=5,1.2,VLOOKUP(($P$1-D56),LEV_Force!$F$6:$H$86,2,FALSE)))</f>
        <v>1.2</v>
      </c>
      <c r="J56" s="144">
        <f t="shared" si="2"/>
        <v>1.5</v>
      </c>
      <c r="K56" s="18">
        <f t="shared" si="3"/>
        <v>122929566.66666667</v>
      </c>
      <c r="L56" s="145">
        <f>IF($P$1-D56&gt;40,0.7,VLOOKUP(($P$1-D56),LEV_Force!$F$6:$H$86,3,FALSE))</f>
        <v>0.88000000000000012</v>
      </c>
      <c r="M56" s="19">
        <f t="shared" si="4"/>
        <v>313470.08000000002</v>
      </c>
      <c r="N56" s="109"/>
      <c r="O56" s="109"/>
      <c r="P56" s="109"/>
      <c r="Q56" s="109"/>
      <c r="R56" s="109"/>
      <c r="S56" s="109"/>
      <c r="T56" s="109"/>
    </row>
    <row r="57" spans="1:20" ht="18" thickBot="1">
      <c r="A57" s="10" t="s">
        <v>654</v>
      </c>
      <c r="B57" s="11">
        <v>226241600</v>
      </c>
      <c r="C57" s="11">
        <v>363430</v>
      </c>
      <c r="D57" s="12">
        <v>228</v>
      </c>
      <c r="E57" s="24">
        <f t="shared" si="0"/>
        <v>0.72647411424007879</v>
      </c>
      <c r="F57" s="12">
        <v>240</v>
      </c>
      <c r="G57" s="21">
        <f t="shared" si="1"/>
        <v>360</v>
      </c>
      <c r="H57" s="132" t="s">
        <v>652</v>
      </c>
      <c r="I57" s="144">
        <f>IF($P$1&lt;220,999,IF(($P$1-D57)&gt;=5,1.2,VLOOKUP(($P$1-D57),LEV_Force!$F$6:$H$86,2,FALSE)))</f>
        <v>1.2</v>
      </c>
      <c r="J57" s="144">
        <f t="shared" si="2"/>
        <v>1.5</v>
      </c>
      <c r="K57" s="18">
        <f t="shared" si="3"/>
        <v>125689777.77777779</v>
      </c>
      <c r="L57" s="145">
        <f>IF($P$1-D57&gt;40,0.7,VLOOKUP(($P$1-D57),LEV_Force!$F$6:$H$86,3,FALSE))</f>
        <v>0.89000000000000012</v>
      </c>
      <c r="M57" s="19">
        <f t="shared" si="4"/>
        <v>323452.70000000007</v>
      </c>
      <c r="N57" s="109"/>
      <c r="O57" s="109"/>
      <c r="P57" s="109"/>
      <c r="Q57" s="109"/>
      <c r="R57" s="109"/>
      <c r="S57" s="109"/>
      <c r="T57" s="109"/>
    </row>
    <row r="58" spans="1:20">
      <c r="A58" s="4" t="s">
        <v>78</v>
      </c>
      <c r="B58" s="5">
        <v>258998400</v>
      </c>
      <c r="C58" s="5">
        <v>393361</v>
      </c>
      <c r="D58" s="6">
        <v>230</v>
      </c>
      <c r="E58" s="25">
        <f t="shared" si="0"/>
        <v>0.68685656196123535</v>
      </c>
      <c r="F58" s="136">
        <v>280</v>
      </c>
      <c r="G58" s="151">
        <f t="shared" si="1"/>
        <v>420</v>
      </c>
      <c r="H58" s="130" t="s">
        <v>470</v>
      </c>
      <c r="I58" s="144">
        <f>IF($P$1&lt;225,999,IF(($P$1-D58)&gt;=5,1.2,VLOOKUP(($P$1-D58),LEV_Force!$F$6:$H$86,2,FALSE)))</f>
        <v>1.2</v>
      </c>
      <c r="J58" s="144">
        <f t="shared" si="2"/>
        <v>1.5</v>
      </c>
      <c r="K58" s="18">
        <f t="shared" si="3"/>
        <v>143888000</v>
      </c>
      <c r="L58" s="145">
        <f>IF($P$1-D58&gt;40,0.7,VLOOKUP(($P$1-D58),LEV_Force!$F$6:$H$86,3,FALSE))</f>
        <v>0.91000000000000014</v>
      </c>
      <c r="M58" s="19">
        <f t="shared" si="4"/>
        <v>357958.51000000007</v>
      </c>
      <c r="N58" s="109"/>
      <c r="O58" s="109"/>
      <c r="P58" s="109"/>
      <c r="Q58" s="109"/>
      <c r="R58" s="109"/>
      <c r="S58" s="109"/>
      <c r="T58" s="109"/>
    </row>
    <row r="59" spans="1:20">
      <c r="A59" s="7" t="s">
        <v>79</v>
      </c>
      <c r="B59" s="8">
        <v>258998400</v>
      </c>
      <c r="C59" s="8">
        <v>393361</v>
      </c>
      <c r="D59" s="9">
        <v>230</v>
      </c>
      <c r="E59" s="23">
        <f t="shared" si="0"/>
        <v>0.68685656196123535</v>
      </c>
      <c r="F59" s="9">
        <v>280</v>
      </c>
      <c r="G59" s="19">
        <f t="shared" si="1"/>
        <v>420</v>
      </c>
      <c r="H59" s="131"/>
      <c r="I59" s="144">
        <f>IF($P$1&lt;225,999,IF(($P$1-D59)&gt;=5,1.2,VLOOKUP(($P$1-D59),LEV_Force!$F$6:$H$86,2,FALSE)))</f>
        <v>1.2</v>
      </c>
      <c r="J59" s="144">
        <f t="shared" si="2"/>
        <v>1.5</v>
      </c>
      <c r="K59" s="18">
        <f t="shared" si="3"/>
        <v>143888000</v>
      </c>
      <c r="L59" s="145">
        <f>IF($P$1-D59&gt;40,0.7,VLOOKUP(($P$1-D59),LEV_Force!$F$6:$H$86,3,FALSE))</f>
        <v>0.91000000000000014</v>
      </c>
      <c r="M59" s="19">
        <f t="shared" si="4"/>
        <v>357958.51000000007</v>
      </c>
      <c r="N59" s="109"/>
      <c r="O59" s="109"/>
      <c r="P59" s="109"/>
      <c r="Q59" s="109"/>
      <c r="R59" s="109"/>
      <c r="S59" s="109"/>
      <c r="T59" s="109"/>
    </row>
    <row r="60" spans="1:20">
      <c r="A60" s="7" t="s">
        <v>80</v>
      </c>
      <c r="B60" s="8">
        <v>264616000</v>
      </c>
      <c r="C60" s="8">
        <v>401055</v>
      </c>
      <c r="D60" s="9">
        <v>231</v>
      </c>
      <c r="E60" s="23">
        <f t="shared" si="0"/>
        <v>0.68542457017012193</v>
      </c>
      <c r="F60" s="9">
        <v>280</v>
      </c>
      <c r="G60" s="19">
        <f t="shared" si="1"/>
        <v>420</v>
      </c>
      <c r="H60" s="131"/>
      <c r="I60" s="144">
        <f>IF($P$1&lt;225,999,IF(($P$1-D60)&gt;=5,1.2,VLOOKUP(($P$1-D60),LEV_Force!$F$6:$H$86,2,FALSE)))</f>
        <v>1.2</v>
      </c>
      <c r="J60" s="144">
        <f t="shared" si="2"/>
        <v>1.5</v>
      </c>
      <c r="K60" s="18">
        <f t="shared" si="3"/>
        <v>147008888.8888889</v>
      </c>
      <c r="L60" s="145">
        <f>IF($P$1-D60&gt;40,0.7,VLOOKUP(($P$1-D60),LEV_Force!$F$6:$H$86,3,FALSE))</f>
        <v>0.92000000000000015</v>
      </c>
      <c r="M60" s="19">
        <f t="shared" si="4"/>
        <v>368970.60000000003</v>
      </c>
      <c r="N60" s="109"/>
      <c r="O60" s="109"/>
      <c r="P60" s="109"/>
      <c r="Q60" s="109"/>
      <c r="R60" s="109"/>
      <c r="S60" s="109"/>
      <c r="T60" s="109"/>
    </row>
    <row r="61" spans="1:20">
      <c r="A61" s="7" t="s">
        <v>81</v>
      </c>
      <c r="B61" s="8">
        <v>270291200</v>
      </c>
      <c r="C61" s="8">
        <v>408778</v>
      </c>
      <c r="D61" s="9">
        <v>232</v>
      </c>
      <c r="E61" s="23">
        <f t="shared" si="0"/>
        <v>0.68395486271551809</v>
      </c>
      <c r="F61" s="9">
        <v>280</v>
      </c>
      <c r="G61" s="19">
        <f t="shared" si="1"/>
        <v>420</v>
      </c>
      <c r="H61" s="131"/>
      <c r="I61" s="144">
        <f>IF($P$1&lt;225,999,IF(($P$1-D61)&gt;=5,1.2,VLOOKUP(($P$1-D61),LEV_Force!$F$6:$H$86,2,FALSE)))</f>
        <v>1.2</v>
      </c>
      <c r="J61" s="144">
        <f t="shared" si="2"/>
        <v>1.5</v>
      </c>
      <c r="K61" s="18">
        <f t="shared" si="3"/>
        <v>150161777.77777779</v>
      </c>
      <c r="L61" s="145">
        <f>IF($P$1-D61&gt;40,0.7,VLOOKUP(($P$1-D61),LEV_Force!$F$6:$H$86,3,FALSE))</f>
        <v>0.93000000000000016</v>
      </c>
      <c r="M61" s="19">
        <f t="shared" si="4"/>
        <v>380163.54000000004</v>
      </c>
      <c r="N61" s="109"/>
      <c r="O61" s="109"/>
      <c r="P61" s="109"/>
      <c r="Q61" s="109"/>
      <c r="R61" s="109"/>
      <c r="S61" s="109"/>
      <c r="T61" s="109"/>
    </row>
    <row r="62" spans="1:20">
      <c r="A62" s="7" t="s">
        <v>82</v>
      </c>
      <c r="B62" s="8">
        <v>276278400</v>
      </c>
      <c r="C62" s="8">
        <v>415702</v>
      </c>
      <c r="D62" s="9">
        <v>233</v>
      </c>
      <c r="E62" s="23">
        <f t="shared" si="0"/>
        <v>0.68046691662407788</v>
      </c>
      <c r="F62" s="9">
        <v>320</v>
      </c>
      <c r="G62" s="19">
        <f t="shared" si="1"/>
        <v>480</v>
      </c>
      <c r="H62" s="131"/>
      <c r="I62" s="144">
        <f>IF($P$1&lt;225,999,IF(($P$1-D62)&gt;=5,1.2,VLOOKUP(($P$1-D62),LEV_Force!$F$6:$H$86,2,FALSE)))</f>
        <v>1.2</v>
      </c>
      <c r="J62" s="144">
        <f t="shared" si="2"/>
        <v>1.5</v>
      </c>
      <c r="K62" s="18">
        <f t="shared" si="3"/>
        <v>153488000</v>
      </c>
      <c r="L62" s="145">
        <f>IF($P$1-D62&gt;40,0.7,VLOOKUP(($P$1-D62),LEV_Force!$F$6:$H$86,3,FALSE))</f>
        <v>0.94000000000000017</v>
      </c>
      <c r="M62" s="19">
        <f t="shared" si="4"/>
        <v>390759.88000000006</v>
      </c>
      <c r="N62" s="109"/>
      <c r="O62" s="109"/>
      <c r="P62" s="109"/>
      <c r="Q62" s="109"/>
      <c r="R62" s="109"/>
      <c r="S62" s="109"/>
      <c r="T62" s="109"/>
    </row>
    <row r="63" spans="1:20">
      <c r="A63" s="7" t="s">
        <v>83</v>
      </c>
      <c r="B63" s="8">
        <v>282072000</v>
      </c>
      <c r="C63" s="8">
        <v>423542</v>
      </c>
      <c r="D63" s="9">
        <v>234</v>
      </c>
      <c r="E63" s="23">
        <f t="shared" si="0"/>
        <v>0.67906029643313226</v>
      </c>
      <c r="F63" s="9">
        <v>320</v>
      </c>
      <c r="G63" s="19">
        <f t="shared" si="1"/>
        <v>480</v>
      </c>
      <c r="H63" s="131"/>
      <c r="I63" s="144">
        <f>IF($P$1&lt;225,999,IF(($P$1-D63)&gt;=5,1.2,VLOOKUP(($P$1-D63),LEV_Force!$F$6:$H$86,2,FALSE)))</f>
        <v>1.2</v>
      </c>
      <c r="J63" s="144">
        <f t="shared" si="2"/>
        <v>1.5</v>
      </c>
      <c r="K63" s="18">
        <f t="shared" si="3"/>
        <v>156706666.66666666</v>
      </c>
      <c r="L63" s="145">
        <f>IF($P$1-D63&gt;40,0.7,VLOOKUP(($P$1-D63),LEV_Force!$F$6:$H$86,3,FALSE))</f>
        <v>0.95000000000000018</v>
      </c>
      <c r="M63" s="19">
        <f t="shared" si="4"/>
        <v>402364.90000000008</v>
      </c>
      <c r="N63" s="109"/>
      <c r="O63" s="109"/>
      <c r="P63" s="109"/>
      <c r="Q63" s="109"/>
      <c r="R63" s="109"/>
      <c r="S63" s="109"/>
      <c r="T63" s="109"/>
    </row>
    <row r="64" spans="1:20">
      <c r="A64" s="7" t="s">
        <v>84</v>
      </c>
      <c r="B64" s="8">
        <v>288184000</v>
      </c>
      <c r="C64" s="8">
        <v>431459</v>
      </c>
      <c r="D64" s="9">
        <v>235</v>
      </c>
      <c r="E64" s="23">
        <f>C64/B64*($B$2/$C$2)</f>
        <v>0.67708236266602206</v>
      </c>
      <c r="F64" s="9">
        <v>320</v>
      </c>
      <c r="G64" s="19">
        <f t="shared" si="1"/>
        <v>480</v>
      </c>
      <c r="H64" s="131"/>
      <c r="I64" s="144">
        <f>IF($P$1&lt;225,999,IF(($P$1-D64)&gt;=5,1.2,VLOOKUP(($P$1-D64),LEV_Force!$F$6:$H$86,2,FALSE)))</f>
        <v>1.2</v>
      </c>
      <c r="J64" s="144">
        <f t="shared" si="2"/>
        <v>1.5</v>
      </c>
      <c r="K64" s="18">
        <f t="shared" si="3"/>
        <v>160102222.22222224</v>
      </c>
      <c r="L64" s="145">
        <f>IF($P$1-D64&gt;40,0.7,VLOOKUP(($P$1-D64),LEV_Force!$F$6:$H$86,3,FALSE))</f>
        <v>0.96000000000000019</v>
      </c>
      <c r="M64" s="19">
        <f t="shared" si="4"/>
        <v>414200.64000000007</v>
      </c>
      <c r="N64" s="109"/>
      <c r="O64" s="109"/>
      <c r="P64" s="109"/>
      <c r="Q64" s="109"/>
      <c r="R64" s="109"/>
      <c r="S64" s="109"/>
      <c r="T64" s="109"/>
    </row>
    <row r="65" spans="1:20">
      <c r="A65" s="7" t="s">
        <v>85</v>
      </c>
      <c r="B65" s="8">
        <v>294096000</v>
      </c>
      <c r="C65" s="8">
        <v>439402</v>
      </c>
      <c r="D65" s="9">
        <v>236</v>
      </c>
      <c r="E65" s="23">
        <f t="shared" si="0"/>
        <v>0.67568572706553265</v>
      </c>
      <c r="F65" s="9">
        <v>320</v>
      </c>
      <c r="G65" s="19">
        <f t="shared" si="1"/>
        <v>480</v>
      </c>
      <c r="H65" s="131"/>
      <c r="I65" s="144">
        <f>IF($P$1&lt;225,999,IF(($P$1-D65)&gt;=5,1.2,VLOOKUP(($P$1-D65),LEV_Force!$F$6:$H$86,2,FALSE)))</f>
        <v>1.2</v>
      </c>
      <c r="J65" s="144">
        <f t="shared" si="2"/>
        <v>1.5</v>
      </c>
      <c r="K65" s="18">
        <f t="shared" si="3"/>
        <v>163386666.66666666</v>
      </c>
      <c r="L65" s="145">
        <f>IF($P$1-D65&gt;40,0.7,VLOOKUP(($P$1-D65),LEV_Force!$F$6:$H$86,3,FALSE))</f>
        <v>0.9700000000000002</v>
      </c>
      <c r="M65" s="19">
        <f t="shared" si="4"/>
        <v>426219.94000000006</v>
      </c>
      <c r="N65" s="109"/>
      <c r="O65" s="109"/>
      <c r="P65" s="109"/>
      <c r="Q65" s="109"/>
      <c r="R65" s="109"/>
      <c r="S65" s="109"/>
      <c r="T65" s="109"/>
    </row>
    <row r="66" spans="1:20">
      <c r="A66" s="7" t="s">
        <v>86</v>
      </c>
      <c r="B66" s="8">
        <v>300065600</v>
      </c>
      <c r="C66" s="8">
        <v>446505</v>
      </c>
      <c r="D66" s="9">
        <v>237</v>
      </c>
      <c r="E66" s="23">
        <f t="shared" si="0"/>
        <v>0.67294868678375397</v>
      </c>
      <c r="F66" s="9">
        <v>360</v>
      </c>
      <c r="G66" s="19">
        <f t="shared" si="1"/>
        <v>540</v>
      </c>
      <c r="H66" s="131"/>
      <c r="I66" s="144">
        <f>IF($P$1&lt;225,999,IF(($P$1-D66)&gt;=5,1.2,VLOOKUP(($P$1-D66),LEV_Force!$F$6:$H$86,2,FALSE)))</f>
        <v>1.2</v>
      </c>
      <c r="J66" s="144">
        <f t="shared" si="2"/>
        <v>1.5</v>
      </c>
      <c r="K66" s="18">
        <f t="shared" si="3"/>
        <v>166703111.11111113</v>
      </c>
      <c r="L66" s="145">
        <f>IF($P$1-D66&gt;40,0.7,VLOOKUP(($P$1-D66),LEV_Force!$F$6:$H$86,3,FALSE))</f>
        <v>0.9800000000000002</v>
      </c>
      <c r="M66" s="19">
        <f t="shared" si="4"/>
        <v>437574.90000000008</v>
      </c>
      <c r="N66" s="109"/>
      <c r="O66" s="109"/>
      <c r="P66" s="109"/>
      <c r="Q66" s="109"/>
      <c r="R66" s="109"/>
      <c r="S66" s="109"/>
      <c r="T66" s="109"/>
    </row>
    <row r="67" spans="1:20">
      <c r="A67" s="7" t="s">
        <v>87</v>
      </c>
      <c r="B67" s="8">
        <v>306363200</v>
      </c>
      <c r="C67" s="8">
        <v>454564</v>
      </c>
      <c r="D67" s="9">
        <v>238</v>
      </c>
      <c r="E67" s="23">
        <f t="shared" si="0"/>
        <v>0.67101198067880585</v>
      </c>
      <c r="F67" s="9">
        <v>360</v>
      </c>
      <c r="G67" s="19">
        <f t="shared" si="1"/>
        <v>540</v>
      </c>
      <c r="H67" s="131"/>
      <c r="I67" s="144">
        <f>IF($P$1&lt;225,999,IF(($P$1-D67)&gt;=5,1.2,VLOOKUP(($P$1-D67),LEV_Force!$F$6:$H$86,2,FALSE)))</f>
        <v>1.2</v>
      </c>
      <c r="J67" s="144">
        <f t="shared" si="2"/>
        <v>1.5</v>
      </c>
      <c r="K67" s="18">
        <f t="shared" si="3"/>
        <v>170201777.77777779</v>
      </c>
      <c r="L67" s="145">
        <f>IF($P$1-D67&gt;40,0.7,VLOOKUP(($P$1-D67),LEV_Force!$F$6:$H$86,3,FALSE))</f>
        <v>0.99000000000000021</v>
      </c>
      <c r="M67" s="19">
        <f t="shared" si="4"/>
        <v>450018.3600000001</v>
      </c>
      <c r="N67" s="109"/>
      <c r="O67" s="109"/>
      <c r="P67" s="109"/>
      <c r="Q67" s="109"/>
      <c r="R67" s="109"/>
      <c r="S67" s="109"/>
      <c r="T67" s="109"/>
    </row>
    <row r="68" spans="1:20">
      <c r="A68" s="7" t="s">
        <v>88</v>
      </c>
      <c r="B68" s="8">
        <v>312451200</v>
      </c>
      <c r="C68" s="8">
        <v>462670</v>
      </c>
      <c r="D68" s="9">
        <v>239</v>
      </c>
      <c r="E68" s="23">
        <f t="shared" si="0"/>
        <v>0.66967020523282295</v>
      </c>
      <c r="F68" s="9">
        <v>360</v>
      </c>
      <c r="G68" s="19">
        <f t="shared" si="1"/>
        <v>540</v>
      </c>
      <c r="H68" s="131"/>
      <c r="I68" s="144">
        <f>IF($P$1&lt;225,999,IF(($P$1-D68)&gt;=5,1.2,VLOOKUP(($P$1-D68),LEV_Force!$F$6:$H$86,2,FALSE)))</f>
        <v>1.2</v>
      </c>
      <c r="J68" s="144">
        <f t="shared" si="2"/>
        <v>1.5</v>
      </c>
      <c r="K68" s="18">
        <f t="shared" si="3"/>
        <v>173584000</v>
      </c>
      <c r="L68" s="145">
        <f>IF($P$1-D68&gt;40,0.7,VLOOKUP(($P$1-D68),LEV_Force!$F$6:$H$86,3,FALSE))</f>
        <v>1.0000000000000002</v>
      </c>
      <c r="M68" s="19">
        <f t="shared" si="4"/>
        <v>462670.00000000012</v>
      </c>
      <c r="N68" s="109"/>
      <c r="O68" s="109"/>
      <c r="P68" s="109"/>
      <c r="Q68" s="109"/>
      <c r="R68" s="109"/>
      <c r="S68" s="109"/>
      <c r="T68" s="109"/>
    </row>
    <row r="69" spans="1:20" ht="18" thickBot="1">
      <c r="A69" s="10" t="s">
        <v>89</v>
      </c>
      <c r="B69" s="11">
        <v>318873600</v>
      </c>
      <c r="C69" s="11">
        <v>470824</v>
      </c>
      <c r="D69" s="12">
        <v>240</v>
      </c>
      <c r="E69" s="24">
        <f t="shared" si="0"/>
        <v>0.66774687049160708</v>
      </c>
      <c r="F69" s="12">
        <v>360</v>
      </c>
      <c r="G69" s="21">
        <f t="shared" si="1"/>
        <v>540</v>
      </c>
      <c r="H69" s="132"/>
      <c r="I69" s="144">
        <f>IF($P$1&lt;225,999,IF(($P$1-D69)&gt;=5,1.2,VLOOKUP(($P$1-D69),LEV_Force!$F$6:$H$86,2,FALSE)))</f>
        <v>1.2</v>
      </c>
      <c r="J69" s="144">
        <f t="shared" si="2"/>
        <v>1.5</v>
      </c>
      <c r="K69" s="18">
        <f t="shared" si="3"/>
        <v>177152000</v>
      </c>
      <c r="L69" s="145">
        <f>IF($P$1-D69&gt;40,0.7,VLOOKUP(($P$1-D69),LEV_Force!$F$6:$H$86,3,FALSE))</f>
        <v>1.05</v>
      </c>
      <c r="M69" s="19">
        <f t="shared" si="4"/>
        <v>494365.2</v>
      </c>
      <c r="N69" s="109"/>
      <c r="O69" s="109"/>
      <c r="P69" s="109"/>
      <c r="Q69" s="109"/>
      <c r="R69" s="109"/>
      <c r="S69" s="109"/>
      <c r="T69" s="109"/>
    </row>
    <row r="70" spans="1:20">
      <c r="A70" s="4" t="s">
        <v>90</v>
      </c>
      <c r="B70" s="5">
        <v>294096000</v>
      </c>
      <c r="C70" s="5">
        <v>439402</v>
      </c>
      <c r="D70" s="6">
        <v>236</v>
      </c>
      <c r="E70" s="25">
        <f t="shared" si="0"/>
        <v>0.67568572706553265</v>
      </c>
      <c r="F70" s="6">
        <v>400</v>
      </c>
      <c r="G70" s="17">
        <f t="shared" si="1"/>
        <v>600</v>
      </c>
      <c r="H70" s="130"/>
      <c r="I70" s="144">
        <f>IF($P$1&lt;230,999,IF(($P$1-D70)&gt;=5,1.2,VLOOKUP(($P$1-D70),LEV_Force!$F$6:$H$86,2,FALSE)))</f>
        <v>1.2</v>
      </c>
      <c r="J70" s="144">
        <f t="shared" si="2"/>
        <v>1.5</v>
      </c>
      <c r="K70" s="18">
        <f t="shared" si="3"/>
        <v>163386666.66666666</v>
      </c>
      <c r="L70" s="145">
        <f>IF($P$1-D70&gt;40,0.7,VLOOKUP(($P$1-D70),LEV_Force!$F$6:$H$86,3,FALSE))</f>
        <v>0.9700000000000002</v>
      </c>
      <c r="M70" s="19">
        <f t="shared" si="4"/>
        <v>426219.94000000006</v>
      </c>
      <c r="N70" s="109"/>
      <c r="O70" s="109"/>
      <c r="P70" s="109"/>
      <c r="Q70" s="109"/>
      <c r="R70" s="109"/>
      <c r="S70" s="109"/>
      <c r="T70" s="109"/>
    </row>
    <row r="71" spans="1:20">
      <c r="A71" s="7" t="s">
        <v>91</v>
      </c>
      <c r="B71" s="8">
        <v>294096000</v>
      </c>
      <c r="C71" s="8">
        <v>439402</v>
      </c>
      <c r="D71" s="9">
        <v>236</v>
      </c>
      <c r="E71" s="23">
        <f t="shared" si="0"/>
        <v>0.67568572706553265</v>
      </c>
      <c r="F71" s="9">
        <v>400</v>
      </c>
      <c r="G71" s="19">
        <f t="shared" si="1"/>
        <v>600</v>
      </c>
      <c r="H71" s="131"/>
      <c r="I71" s="144">
        <f>IF($P$1&lt;230,999,IF(($P$1-D71)&gt;=5,1.2,VLOOKUP(($P$1-D71),LEV_Force!$F$6:$H$86,2,FALSE)))</f>
        <v>1.2</v>
      </c>
      <c r="J71" s="144">
        <f t="shared" si="2"/>
        <v>1.5</v>
      </c>
      <c r="K71" s="18">
        <f t="shared" si="3"/>
        <v>163386666.66666666</v>
      </c>
      <c r="L71" s="145">
        <f>IF($P$1-D71&gt;40,0.7,VLOOKUP(($P$1-D71),LEV_Force!$F$6:$H$86,3,FALSE))</f>
        <v>0.9700000000000002</v>
      </c>
      <c r="M71" s="19">
        <f t="shared" si="4"/>
        <v>426219.94000000006</v>
      </c>
      <c r="N71" s="109"/>
      <c r="O71" s="109"/>
      <c r="P71" s="109"/>
      <c r="Q71" s="109"/>
      <c r="R71" s="109"/>
      <c r="S71" s="109"/>
      <c r="T71" s="109"/>
    </row>
    <row r="72" spans="1:20">
      <c r="A72" s="7" t="s">
        <v>92</v>
      </c>
      <c r="B72" s="8">
        <v>294096000</v>
      </c>
      <c r="C72" s="8">
        <v>439402</v>
      </c>
      <c r="D72" s="9">
        <v>236</v>
      </c>
      <c r="E72" s="23">
        <f t="shared" si="0"/>
        <v>0.67568572706553265</v>
      </c>
      <c r="F72" s="9">
        <v>400</v>
      </c>
      <c r="G72" s="19">
        <f t="shared" si="1"/>
        <v>600</v>
      </c>
      <c r="H72" s="131" t="s">
        <v>470</v>
      </c>
      <c r="I72" s="144">
        <f>IF($P$1&lt;230,999,IF(($P$1-D72)&gt;=5,1.2,VLOOKUP(($P$1-D72),LEV_Force!$F$6:$H$86,2,FALSE)))</f>
        <v>1.2</v>
      </c>
      <c r="J72" s="144">
        <f t="shared" si="2"/>
        <v>1.5</v>
      </c>
      <c r="K72" s="18">
        <f t="shared" si="3"/>
        <v>163386666.66666666</v>
      </c>
      <c r="L72" s="145">
        <f>IF($P$1-D72&gt;40,0.7,VLOOKUP(($P$1-D72),LEV_Force!$F$6:$H$86,3,FALSE))</f>
        <v>0.9700000000000002</v>
      </c>
      <c r="M72" s="19">
        <f t="shared" si="4"/>
        <v>426219.94000000006</v>
      </c>
      <c r="N72" s="109"/>
      <c r="O72" s="109"/>
      <c r="P72" s="109"/>
      <c r="Q72" s="109"/>
      <c r="R72" s="109"/>
      <c r="S72" s="109"/>
      <c r="T72" s="109"/>
    </row>
    <row r="73" spans="1:20">
      <c r="A73" s="7" t="s">
        <v>93</v>
      </c>
      <c r="B73" s="8">
        <v>294096000</v>
      </c>
      <c r="C73" s="8">
        <v>439402</v>
      </c>
      <c r="D73" s="9">
        <v>236</v>
      </c>
      <c r="E73" s="23">
        <f t="shared" si="0"/>
        <v>0.67568572706553265</v>
      </c>
      <c r="F73" s="9">
        <v>440</v>
      </c>
      <c r="G73" s="19">
        <f t="shared" si="1"/>
        <v>660</v>
      </c>
      <c r="H73" s="131"/>
      <c r="I73" s="144">
        <f>IF($P$1&lt;230,999,IF(($P$1-D73)&gt;=5,1.2,VLOOKUP(($P$1-D73),LEV_Force!$F$6:$H$86,2,FALSE)))</f>
        <v>1.2</v>
      </c>
      <c r="J73" s="144">
        <f t="shared" si="2"/>
        <v>1.5</v>
      </c>
      <c r="K73" s="18">
        <f t="shared" si="3"/>
        <v>163386666.66666666</v>
      </c>
      <c r="L73" s="145">
        <f>IF($P$1-D73&gt;40,0.7,VLOOKUP(($P$1-D73),LEV_Force!$F$6:$H$86,3,FALSE))</f>
        <v>0.9700000000000002</v>
      </c>
      <c r="M73" s="19">
        <f t="shared" si="4"/>
        <v>426219.94000000006</v>
      </c>
      <c r="N73" s="109"/>
      <c r="O73" s="109"/>
      <c r="P73" s="109"/>
      <c r="Q73" s="109"/>
      <c r="R73" s="109"/>
      <c r="S73" s="109"/>
      <c r="T73" s="109"/>
    </row>
    <row r="74" spans="1:20">
      <c r="A74" s="7" t="s">
        <v>94</v>
      </c>
      <c r="B74" s="8">
        <v>300065600</v>
      </c>
      <c r="C74" s="8">
        <v>446505</v>
      </c>
      <c r="D74" s="9">
        <v>237</v>
      </c>
      <c r="E74" s="23">
        <f t="shared" si="0"/>
        <v>0.67294868678375397</v>
      </c>
      <c r="F74" s="9">
        <v>440</v>
      </c>
      <c r="G74" s="19">
        <f t="shared" si="1"/>
        <v>660</v>
      </c>
      <c r="H74" s="131"/>
      <c r="I74" s="144">
        <f>IF($P$1&lt;230,999,IF(($P$1-D74)&gt;=5,1.2,VLOOKUP(($P$1-D74),LEV_Force!$F$6:$H$86,2,FALSE)))</f>
        <v>1.2</v>
      </c>
      <c r="J74" s="144">
        <f t="shared" si="2"/>
        <v>1.5</v>
      </c>
      <c r="K74" s="18">
        <f t="shared" si="3"/>
        <v>166703111.11111113</v>
      </c>
      <c r="L74" s="145">
        <f>IF($P$1-D74&gt;40,0.7,VLOOKUP(($P$1-D74),LEV_Force!$F$6:$H$86,3,FALSE))</f>
        <v>0.9800000000000002</v>
      </c>
      <c r="M74" s="19">
        <f t="shared" si="4"/>
        <v>437574.90000000008</v>
      </c>
      <c r="N74" s="109"/>
      <c r="O74" s="109"/>
      <c r="P74" s="109"/>
      <c r="Q74" s="109"/>
      <c r="R74" s="109"/>
      <c r="S74" s="109"/>
      <c r="T74" s="109"/>
    </row>
    <row r="75" spans="1:20">
      <c r="A75" s="7" t="s">
        <v>95</v>
      </c>
      <c r="B75" s="8">
        <v>306363200</v>
      </c>
      <c r="C75" s="8">
        <v>454564</v>
      </c>
      <c r="D75" s="9">
        <v>238</v>
      </c>
      <c r="E75" s="23">
        <f t="shared" si="0"/>
        <v>0.67101198067880585</v>
      </c>
      <c r="F75" s="9">
        <v>440</v>
      </c>
      <c r="G75" s="19">
        <f t="shared" si="1"/>
        <v>660</v>
      </c>
      <c r="H75" s="131"/>
      <c r="I75" s="144">
        <f>IF($P$1&lt;230,999,IF(($P$1-D75)&gt;=5,1.2,VLOOKUP(($P$1-D75),LEV_Force!$F$6:$H$86,2,FALSE)))</f>
        <v>1.2</v>
      </c>
      <c r="J75" s="144">
        <f t="shared" si="2"/>
        <v>1.5</v>
      </c>
      <c r="K75" s="18">
        <f t="shared" si="3"/>
        <v>170201777.77777779</v>
      </c>
      <c r="L75" s="145">
        <f>IF($P$1-D75&gt;40,0.7,VLOOKUP(($P$1-D75),LEV_Force!$F$6:$H$86,3,FALSE))</f>
        <v>0.99000000000000021</v>
      </c>
      <c r="M75" s="19">
        <f t="shared" si="4"/>
        <v>450018.3600000001</v>
      </c>
      <c r="N75" s="109"/>
      <c r="O75" s="109"/>
      <c r="P75" s="109"/>
      <c r="Q75" s="109"/>
      <c r="R75" s="109"/>
      <c r="S75" s="109"/>
      <c r="T75" s="109"/>
    </row>
    <row r="76" spans="1:20">
      <c r="A76" s="7" t="s">
        <v>96</v>
      </c>
      <c r="B76" s="8">
        <v>306363200</v>
      </c>
      <c r="C76" s="8">
        <v>454564</v>
      </c>
      <c r="D76" s="9">
        <v>238</v>
      </c>
      <c r="E76" s="23">
        <f t="shared" si="0"/>
        <v>0.67101198067880585</v>
      </c>
      <c r="F76" s="9">
        <v>440</v>
      </c>
      <c r="G76" s="19">
        <f t="shared" si="1"/>
        <v>660</v>
      </c>
      <c r="H76" s="131"/>
      <c r="I76" s="144">
        <f>IF($P$1&lt;230,999,IF(($P$1-D76)&gt;=5,1.2,VLOOKUP(($P$1-D76),LEV_Force!$F$6:$H$86,2,FALSE)))</f>
        <v>1.2</v>
      </c>
      <c r="J76" s="144">
        <f t="shared" si="2"/>
        <v>1.5</v>
      </c>
      <c r="K76" s="18">
        <f t="shared" si="3"/>
        <v>170201777.77777779</v>
      </c>
      <c r="L76" s="145">
        <f>IF($P$1-D76&gt;40,0.7,VLOOKUP(($P$1-D76),LEV_Force!$F$6:$H$86,3,FALSE))</f>
        <v>0.99000000000000021</v>
      </c>
      <c r="M76" s="19">
        <f t="shared" si="4"/>
        <v>450018.3600000001</v>
      </c>
      <c r="N76" s="109"/>
      <c r="O76" s="109"/>
      <c r="P76" s="109"/>
      <c r="Q76" s="109"/>
      <c r="R76" s="109"/>
      <c r="S76" s="109"/>
      <c r="T76" s="109"/>
    </row>
    <row r="77" spans="1:20">
      <c r="A77" s="7" t="s">
        <v>97</v>
      </c>
      <c r="B77" s="8">
        <v>294096000</v>
      </c>
      <c r="C77" s="8">
        <v>439402</v>
      </c>
      <c r="D77" s="9">
        <v>236</v>
      </c>
      <c r="E77" s="23">
        <f t="shared" si="0"/>
        <v>0.67568572706553265</v>
      </c>
      <c r="F77" s="9">
        <v>480</v>
      </c>
      <c r="G77" s="19">
        <f t="shared" si="1"/>
        <v>720</v>
      </c>
      <c r="H77" s="131" t="s">
        <v>470</v>
      </c>
      <c r="I77" s="144">
        <f>IF($P$1&lt;230,999,IF(($P$1-D77)&gt;=5,1.2,VLOOKUP(($P$1-D77),LEV_Force!$F$6:$H$86,2,FALSE)))</f>
        <v>1.2</v>
      </c>
      <c r="J77" s="144">
        <f t="shared" si="2"/>
        <v>1.5</v>
      </c>
      <c r="K77" s="18">
        <f t="shared" si="3"/>
        <v>163386666.66666666</v>
      </c>
      <c r="L77" s="145">
        <f>IF($P$1-D77&gt;40,0.7,VLOOKUP(($P$1-D77),LEV_Force!$F$6:$H$86,3,FALSE))</f>
        <v>0.9700000000000002</v>
      </c>
      <c r="M77" s="19">
        <f t="shared" si="4"/>
        <v>426219.94000000006</v>
      </c>
      <c r="N77" s="109"/>
      <c r="O77" s="109"/>
      <c r="P77" s="109"/>
      <c r="Q77" s="109"/>
      <c r="R77" s="109"/>
      <c r="S77" s="109"/>
      <c r="T77" s="109"/>
    </row>
    <row r="78" spans="1:20">
      <c r="A78" s="7" t="s">
        <v>98</v>
      </c>
      <c r="B78" s="8">
        <v>312451200</v>
      </c>
      <c r="C78" s="8">
        <v>462670</v>
      </c>
      <c r="D78" s="9">
        <v>239</v>
      </c>
      <c r="E78" s="23">
        <f t="shared" si="0"/>
        <v>0.66967020523282295</v>
      </c>
      <c r="F78" s="9">
        <v>480</v>
      </c>
      <c r="G78" s="19">
        <f t="shared" si="1"/>
        <v>720</v>
      </c>
      <c r="H78" s="131"/>
      <c r="I78" s="144">
        <f>IF($P$1&lt;230,999,IF(($P$1-D78)&gt;=5,1.2,VLOOKUP(($P$1-D78),LEV_Force!$F$6:$H$86,2,FALSE)))</f>
        <v>1.2</v>
      </c>
      <c r="J78" s="144">
        <f t="shared" si="2"/>
        <v>1.5</v>
      </c>
      <c r="K78" s="18">
        <f t="shared" si="3"/>
        <v>173584000</v>
      </c>
      <c r="L78" s="145">
        <f>IF($P$1-D78&gt;40,0.7,VLOOKUP(($P$1-D78),LEV_Force!$F$6:$H$86,3,FALSE))</f>
        <v>1.0000000000000002</v>
      </c>
      <c r="M78" s="19">
        <f t="shared" si="4"/>
        <v>462670.00000000012</v>
      </c>
      <c r="N78" s="109"/>
      <c r="O78" s="109"/>
      <c r="P78" s="109"/>
      <c r="Q78" s="109"/>
      <c r="R78" s="109"/>
      <c r="S78" s="109"/>
      <c r="T78" s="109"/>
    </row>
    <row r="79" spans="1:20">
      <c r="A79" s="7" t="s">
        <v>99</v>
      </c>
      <c r="B79" s="8">
        <v>318873600</v>
      </c>
      <c r="C79" s="8">
        <v>470824</v>
      </c>
      <c r="D79" s="9">
        <v>240</v>
      </c>
      <c r="E79" s="23">
        <f t="shared" si="0"/>
        <v>0.66774687049160708</v>
      </c>
      <c r="F79" s="9">
        <v>480</v>
      </c>
      <c r="G79" s="19">
        <f t="shared" si="1"/>
        <v>720</v>
      </c>
      <c r="H79" s="131"/>
      <c r="I79" s="144">
        <f>IF($P$1&lt;230,999,IF(($P$1-D79)&gt;=5,1.2,VLOOKUP(($P$1-D79),LEV_Force!$F$6:$H$86,2,FALSE)))</f>
        <v>1.2</v>
      </c>
      <c r="J79" s="144">
        <f t="shared" si="2"/>
        <v>1.5</v>
      </c>
      <c r="K79" s="18">
        <f t="shared" si="3"/>
        <v>177152000</v>
      </c>
      <c r="L79" s="145">
        <f>IF($P$1-D79&gt;40,0.7,VLOOKUP(($P$1-D79),LEV_Force!$F$6:$H$86,3,FALSE))</f>
        <v>1.05</v>
      </c>
      <c r="M79" s="19">
        <f t="shared" si="4"/>
        <v>494365.2</v>
      </c>
      <c r="N79" s="109"/>
      <c r="O79" s="109"/>
      <c r="P79" s="109"/>
      <c r="Q79" s="109"/>
      <c r="R79" s="109"/>
      <c r="S79" s="109"/>
      <c r="T79" s="109"/>
    </row>
    <row r="80" spans="1:20">
      <c r="A80" s="7" t="s">
        <v>100</v>
      </c>
      <c r="B80" s="8">
        <v>406700000</v>
      </c>
      <c r="C80" s="8">
        <v>485614</v>
      </c>
      <c r="D80" s="9">
        <v>241</v>
      </c>
      <c r="E80" s="23">
        <f t="shared" si="0"/>
        <v>0.53999390741610032</v>
      </c>
      <c r="F80" s="9">
        <v>480</v>
      </c>
      <c r="G80" s="19">
        <f t="shared" si="1"/>
        <v>720</v>
      </c>
      <c r="H80" s="131"/>
      <c r="I80" s="144">
        <f>IF($P$1&lt;230,999,IF(($P$1-D80)&gt;=5,1.2,VLOOKUP(($P$1-D80),LEV_Force!$F$6:$H$86,2,FALSE)))</f>
        <v>1.2</v>
      </c>
      <c r="J80" s="144">
        <f t="shared" si="2"/>
        <v>1.5</v>
      </c>
      <c r="K80" s="18">
        <f t="shared" si="3"/>
        <v>225944444.44444445</v>
      </c>
      <c r="L80" s="145">
        <f>IF($P$1-D80&gt;40,0.7,VLOOKUP(($P$1-D80),LEV_Force!$F$6:$H$86,3,FALSE))</f>
        <v>1.05</v>
      </c>
      <c r="M80" s="19">
        <f t="shared" si="4"/>
        <v>509894.7</v>
      </c>
      <c r="N80" s="109"/>
      <c r="O80" s="109"/>
      <c r="P80" s="109"/>
      <c r="Q80" s="109"/>
      <c r="R80" s="109"/>
      <c r="S80" s="109"/>
      <c r="T80" s="109"/>
    </row>
    <row r="81" spans="1:20">
      <c r="A81" s="7" t="s">
        <v>101</v>
      </c>
      <c r="B81" s="8">
        <v>406700000</v>
      </c>
      <c r="C81" s="8">
        <v>485614</v>
      </c>
      <c r="D81" s="9">
        <v>241</v>
      </c>
      <c r="E81" s="23">
        <f t="shared" si="0"/>
        <v>0.53999390741610032</v>
      </c>
      <c r="F81" s="9">
        <v>480</v>
      </c>
      <c r="G81" s="19">
        <f t="shared" si="1"/>
        <v>720</v>
      </c>
      <c r="H81" s="131"/>
      <c r="I81" s="144">
        <f>IF($P$1&lt;230,999,IF(($P$1-D81)&gt;=5,1.2,VLOOKUP(($P$1-D81),LEV_Force!$F$6:$H$86,2,FALSE)))</f>
        <v>1.2</v>
      </c>
      <c r="J81" s="144">
        <f t="shared" si="2"/>
        <v>1.5</v>
      </c>
      <c r="K81" s="18">
        <f t="shared" si="3"/>
        <v>225944444.44444445</v>
      </c>
      <c r="L81" s="145">
        <f>IF($P$1-D81&gt;40,0.7,VLOOKUP(($P$1-D81),LEV_Force!$F$6:$H$86,3,FALSE))</f>
        <v>1.05</v>
      </c>
      <c r="M81" s="19">
        <f t="shared" si="4"/>
        <v>509894.7</v>
      </c>
      <c r="N81" s="109"/>
      <c r="O81" s="109"/>
      <c r="P81" s="109"/>
      <c r="Q81" s="109"/>
      <c r="R81" s="109"/>
      <c r="S81" s="109"/>
      <c r="T81" s="109"/>
    </row>
    <row r="82" spans="1:20">
      <c r="A82" s="7" t="s">
        <v>102</v>
      </c>
      <c r="B82" s="8">
        <v>294096000</v>
      </c>
      <c r="C82" s="8">
        <v>439402</v>
      </c>
      <c r="D82" s="9">
        <v>236</v>
      </c>
      <c r="E82" s="23">
        <f t="shared" si="0"/>
        <v>0.67568572706553265</v>
      </c>
      <c r="F82" s="9">
        <v>520</v>
      </c>
      <c r="G82" s="19">
        <f t="shared" ref="G82:G132" si="5">F82*1.5</f>
        <v>780</v>
      </c>
      <c r="H82" s="131" t="s">
        <v>470</v>
      </c>
      <c r="I82" s="144">
        <f>IF($P$1&lt;230,999,IF(($P$1-D82)&gt;=5,1.2,VLOOKUP(($P$1-D82),LEV_Force!$F$6:$H$86,2,FALSE)))</f>
        <v>1.2</v>
      </c>
      <c r="J82" s="144">
        <f t="shared" ref="J82:J132" si="6">IF($P$2=0,0.1,IF($P$2&lt;F82*0.3,0.3,IF($P$2&lt;F82*0.5,0.6,IF($P$2&lt;F82*0.7,0.7,IF($P$2&lt;F82,0.8,IF($P$2&lt;F82*1.1,1,IF($P$2&lt;F82*1.2,1.1,IF($P$2&lt;F82*1.3,1.2,IF($P$2&lt;F82*1.4,1.3,1.5)))))))))</f>
        <v>1.5</v>
      </c>
      <c r="K82" s="18">
        <f t="shared" ref="K82:K132" si="7">IF(I82=999, "레벨 부족", B82/I82/J82)</f>
        <v>163386666.66666666</v>
      </c>
      <c r="L82" s="145">
        <f>IF($P$1-D82&gt;40,0.7,VLOOKUP(($P$1-D82),LEV_Force!$F$6:$H$86,3,FALSE))</f>
        <v>0.9700000000000002</v>
      </c>
      <c r="M82" s="19">
        <f t="shared" ref="M82:M132" si="8">IF(I82=999, "레벨 부족", C82*L82)</f>
        <v>426219.94000000006</v>
      </c>
      <c r="N82" s="109"/>
      <c r="O82" s="109"/>
      <c r="P82" s="109"/>
      <c r="Q82" s="109"/>
      <c r="R82" s="109"/>
      <c r="S82" s="109"/>
      <c r="T82" s="109"/>
    </row>
    <row r="83" spans="1:20">
      <c r="A83" s="7" t="s">
        <v>103</v>
      </c>
      <c r="B83" s="8">
        <v>414534000</v>
      </c>
      <c r="C83" s="8">
        <v>494006</v>
      </c>
      <c r="D83" s="9">
        <v>242</v>
      </c>
      <c r="E83" s="23">
        <f t="shared" si="0"/>
        <v>0.53894432116147362</v>
      </c>
      <c r="F83" s="9">
        <v>520</v>
      </c>
      <c r="G83" s="19">
        <f t="shared" si="5"/>
        <v>780</v>
      </c>
      <c r="H83" s="131"/>
      <c r="I83" s="144">
        <f>IF($P$1&lt;230,999,IF(($P$1-D83)&gt;=5,1.2,VLOOKUP(($P$1-D83),LEV_Force!$F$6:$H$86,2,FALSE)))</f>
        <v>1.2</v>
      </c>
      <c r="J83" s="144">
        <f t="shared" si="6"/>
        <v>1.5</v>
      </c>
      <c r="K83" s="18">
        <f t="shared" si="7"/>
        <v>230296666.66666666</v>
      </c>
      <c r="L83" s="145">
        <f>IF($P$1-D83&gt;40,0.7,VLOOKUP(($P$1-D83),LEV_Force!$F$6:$H$86,3,FALSE))</f>
        <v>1.05</v>
      </c>
      <c r="M83" s="19">
        <f t="shared" si="8"/>
        <v>518706.30000000005</v>
      </c>
      <c r="N83" s="109"/>
      <c r="O83" s="109"/>
      <c r="P83" s="109"/>
      <c r="Q83" s="109"/>
      <c r="R83" s="109"/>
      <c r="S83" s="109"/>
      <c r="T83" s="109"/>
    </row>
    <row r="84" spans="1:20">
      <c r="A84" s="7" t="s">
        <v>104</v>
      </c>
      <c r="B84" s="8">
        <v>422798000</v>
      </c>
      <c r="C84" s="8">
        <v>501461</v>
      </c>
      <c r="D84" s="9">
        <v>243</v>
      </c>
      <c r="E84" s="23">
        <f t="shared" si="0"/>
        <v>0.53638431742575787</v>
      </c>
      <c r="F84" s="9">
        <v>520</v>
      </c>
      <c r="G84" s="19">
        <f t="shared" si="5"/>
        <v>780</v>
      </c>
      <c r="H84" s="131"/>
      <c r="I84" s="144">
        <f>IF($P$1&lt;230,999,IF(($P$1-D84)&gt;=5,1.2,VLOOKUP(($P$1-D84),LEV_Force!$F$6:$H$86,2,FALSE)))</f>
        <v>1.2</v>
      </c>
      <c r="J84" s="144">
        <f t="shared" si="6"/>
        <v>1.5</v>
      </c>
      <c r="K84" s="18">
        <f t="shared" si="7"/>
        <v>234887777.77777779</v>
      </c>
      <c r="L84" s="145">
        <f>IF($P$1-D84&gt;40,0.7,VLOOKUP(($P$1-D84),LEV_Force!$F$6:$H$86,3,FALSE))</f>
        <v>1.05</v>
      </c>
      <c r="M84" s="19">
        <f t="shared" si="8"/>
        <v>526534.05000000005</v>
      </c>
      <c r="N84" s="109"/>
      <c r="O84" s="109"/>
      <c r="P84" s="109"/>
      <c r="Q84" s="109"/>
      <c r="R84" s="109"/>
      <c r="S84" s="109"/>
      <c r="T84" s="109"/>
    </row>
    <row r="85" spans="1:20">
      <c r="A85" s="7" t="s">
        <v>105</v>
      </c>
      <c r="B85" s="8">
        <v>431142000</v>
      </c>
      <c r="C85" s="8">
        <v>509964</v>
      </c>
      <c r="D85" s="9">
        <v>244</v>
      </c>
      <c r="E85" s="23">
        <f t="shared" si="0"/>
        <v>0.53492269064925091</v>
      </c>
      <c r="F85" s="9">
        <v>520</v>
      </c>
      <c r="G85" s="19">
        <f t="shared" si="5"/>
        <v>780</v>
      </c>
      <c r="H85" s="131"/>
      <c r="I85" s="144">
        <f>IF($P$1&lt;230,999,IF(($P$1-D85)&gt;=5,1.2,VLOOKUP(($P$1-D85),LEV_Force!$F$6:$H$86,2,FALSE)))</f>
        <v>1.2</v>
      </c>
      <c r="J85" s="144">
        <f t="shared" si="6"/>
        <v>1.5</v>
      </c>
      <c r="K85" s="18">
        <f t="shared" si="7"/>
        <v>239523333.33333334</v>
      </c>
      <c r="L85" s="145">
        <f>IF($P$1-D85&gt;40,0.7,VLOOKUP(($P$1-D85),LEV_Force!$F$6:$H$86,3,FALSE))</f>
        <v>1.05</v>
      </c>
      <c r="M85" s="19">
        <f t="shared" si="8"/>
        <v>535462.20000000007</v>
      </c>
      <c r="N85" s="109"/>
      <c r="O85" s="109"/>
      <c r="P85" s="109"/>
      <c r="Q85" s="109"/>
      <c r="R85" s="109"/>
      <c r="S85" s="109"/>
      <c r="T85" s="109"/>
    </row>
    <row r="86" spans="1:20" ht="18" thickBot="1">
      <c r="A86" s="10" t="s">
        <v>106</v>
      </c>
      <c r="B86" s="11">
        <v>439566000</v>
      </c>
      <c r="C86" s="11">
        <v>518511</v>
      </c>
      <c r="D86" s="12">
        <v>245</v>
      </c>
      <c r="E86" s="24">
        <f t="shared" si="0"/>
        <v>0.53346473438780972</v>
      </c>
      <c r="F86" s="12">
        <v>520</v>
      </c>
      <c r="G86" s="21">
        <f t="shared" si="5"/>
        <v>780</v>
      </c>
      <c r="H86" s="132"/>
      <c r="I86" s="144">
        <f>IF($P$1&lt;230,999,IF(($P$1-D86)&gt;=5,1.2,VLOOKUP(($P$1-D86),LEV_Force!$F$6:$H$86,2,FALSE)))</f>
        <v>1.18</v>
      </c>
      <c r="J86" s="144">
        <f t="shared" si="6"/>
        <v>1.5</v>
      </c>
      <c r="K86" s="18">
        <f t="shared" si="7"/>
        <v>248342372.88135597</v>
      </c>
      <c r="L86" s="145">
        <f>IF($P$1-D86&gt;40,0.7,VLOOKUP(($P$1-D86),LEV_Force!$F$6:$H$86,3,FALSE))</f>
        <v>1.1000000000000001</v>
      </c>
      <c r="M86" s="19">
        <f t="shared" si="8"/>
        <v>570362.10000000009</v>
      </c>
      <c r="N86" s="109"/>
      <c r="O86" s="109"/>
      <c r="P86" s="109"/>
      <c r="Q86" s="109"/>
      <c r="R86" s="109"/>
      <c r="S86" s="109"/>
      <c r="T86" s="109"/>
    </row>
    <row r="87" spans="1:20">
      <c r="A87" s="4" t="s">
        <v>471</v>
      </c>
      <c r="B87" s="5">
        <v>318873600</v>
      </c>
      <c r="C87" s="8">
        <v>470824</v>
      </c>
      <c r="D87" s="6">
        <v>240</v>
      </c>
      <c r="E87" s="74">
        <f t="shared" si="0"/>
        <v>0.66774687049160708</v>
      </c>
      <c r="F87" s="135">
        <v>560</v>
      </c>
      <c r="G87" s="31">
        <f t="shared" si="5"/>
        <v>840</v>
      </c>
      <c r="H87" s="130" t="s">
        <v>470</v>
      </c>
      <c r="I87" s="144">
        <f>IF($P$1&lt;235,999,IF(($P$1-D87)&gt;=5,1.2,VLOOKUP(($P$1-D87),LEV_Force!$F$6:$H$86,2,FALSE)))</f>
        <v>1.2</v>
      </c>
      <c r="J87" s="144">
        <f t="shared" si="6"/>
        <v>1.5</v>
      </c>
      <c r="K87" s="18">
        <f t="shared" si="7"/>
        <v>177152000</v>
      </c>
      <c r="L87" s="145">
        <f>IF($P$1-D87&gt;40,0.7,VLOOKUP(($P$1-D87),LEV_Force!$F$6:$H$86,3,FALSE))</f>
        <v>1.05</v>
      </c>
      <c r="M87" s="19">
        <f t="shared" si="8"/>
        <v>494365.2</v>
      </c>
      <c r="N87" s="110"/>
      <c r="O87" s="110"/>
      <c r="P87" s="110"/>
      <c r="Q87" s="110"/>
      <c r="R87" s="110"/>
      <c r="S87" s="110"/>
      <c r="T87" s="110"/>
    </row>
    <row r="88" spans="1:20" s="71" customFormat="1">
      <c r="A88" s="7" t="s">
        <v>472</v>
      </c>
      <c r="B88" s="8">
        <v>318873600</v>
      </c>
      <c r="C88" s="8">
        <v>470824</v>
      </c>
      <c r="D88" s="9">
        <v>240</v>
      </c>
      <c r="E88" s="23">
        <f t="shared" ref="E88" si="9">C88/B88*($B$2/$C$2)</f>
        <v>0.66774687049160708</v>
      </c>
      <c r="F88" s="9">
        <v>600</v>
      </c>
      <c r="G88" s="76">
        <f t="shared" si="5"/>
        <v>900</v>
      </c>
      <c r="H88" s="133" t="s">
        <v>470</v>
      </c>
      <c r="I88" s="144">
        <f>IF($P$1&lt;235,999,IF(($P$1-D88)&gt;=5,1.2,VLOOKUP(($P$1-D88),LEV_Force!$F$6:$H$86,2,FALSE)))</f>
        <v>1.2</v>
      </c>
      <c r="J88" s="144">
        <f t="shared" si="6"/>
        <v>1.5</v>
      </c>
      <c r="K88" s="18">
        <f t="shared" si="7"/>
        <v>177152000</v>
      </c>
      <c r="L88" s="145">
        <f>IF($P$1-D88&gt;40,0.7,VLOOKUP(($P$1-D88),LEV_Force!$F$6:$H$86,3,FALSE))</f>
        <v>1.05</v>
      </c>
      <c r="M88" s="19">
        <f t="shared" si="8"/>
        <v>494365.2</v>
      </c>
      <c r="N88" s="110"/>
      <c r="O88" s="110"/>
      <c r="P88" s="110"/>
      <c r="Q88" s="110"/>
      <c r="R88" s="110"/>
      <c r="S88" s="110"/>
      <c r="T88" s="110"/>
    </row>
    <row r="89" spans="1:20">
      <c r="A89" s="7" t="s">
        <v>107</v>
      </c>
      <c r="B89" s="8">
        <f>B87</f>
        <v>318873600</v>
      </c>
      <c r="C89" s="8">
        <v>470824</v>
      </c>
      <c r="D89" s="9">
        <f>D87</f>
        <v>240</v>
      </c>
      <c r="E89" s="23">
        <f t="shared" si="0"/>
        <v>0.66774687049160708</v>
      </c>
      <c r="F89" s="9">
        <v>560</v>
      </c>
      <c r="G89" s="29">
        <f t="shared" si="5"/>
        <v>840</v>
      </c>
      <c r="H89" s="131"/>
      <c r="I89" s="144">
        <f>IF($P$1&lt;235,999,IF(($P$1-D89)&gt;=5,1.2,VLOOKUP(($P$1-D89),LEV_Force!$F$6:$H$86,2,FALSE)))</f>
        <v>1.2</v>
      </c>
      <c r="J89" s="144">
        <f t="shared" si="6"/>
        <v>1.5</v>
      </c>
      <c r="K89" s="18">
        <f t="shared" si="7"/>
        <v>177152000</v>
      </c>
      <c r="L89" s="145">
        <f>IF($P$1-D89&gt;40,0.7,VLOOKUP(($P$1-D89),LEV_Force!$F$6:$H$86,3,FALSE))</f>
        <v>1.05</v>
      </c>
      <c r="M89" s="19">
        <f t="shared" si="8"/>
        <v>494365.2</v>
      </c>
      <c r="N89" s="110"/>
      <c r="O89" s="110"/>
      <c r="P89" s="110"/>
      <c r="Q89" s="110"/>
      <c r="R89" s="110"/>
      <c r="S89" s="110"/>
      <c r="T89" s="110"/>
    </row>
    <row r="90" spans="1:20">
      <c r="A90" s="7" t="s">
        <v>108</v>
      </c>
      <c r="B90" s="8">
        <v>406700000</v>
      </c>
      <c r="C90" s="8">
        <v>485614</v>
      </c>
      <c r="D90" s="9">
        <v>241</v>
      </c>
      <c r="E90" s="23">
        <f t="shared" ref="E90:E103" si="10">C90/B90*($B$2/$C$2)</f>
        <v>0.53999390741610032</v>
      </c>
      <c r="F90" s="9">
        <v>560</v>
      </c>
      <c r="G90" s="29">
        <f t="shared" si="5"/>
        <v>840</v>
      </c>
      <c r="H90" s="131"/>
      <c r="I90" s="144">
        <f>IF($P$1&lt;235,999,IF(($P$1-D90)&gt;=5,1.2,VLOOKUP(($P$1-D90),LEV_Force!$F$6:$H$86,2,FALSE)))</f>
        <v>1.2</v>
      </c>
      <c r="J90" s="144">
        <f t="shared" si="6"/>
        <v>1.5</v>
      </c>
      <c r="K90" s="18">
        <f t="shared" si="7"/>
        <v>225944444.44444445</v>
      </c>
      <c r="L90" s="145">
        <f>IF($P$1-D90&gt;40,0.7,VLOOKUP(($P$1-D90),LEV_Force!$F$6:$H$86,3,FALSE))</f>
        <v>1.05</v>
      </c>
      <c r="M90" s="19">
        <f t="shared" si="8"/>
        <v>509894.7</v>
      </c>
      <c r="N90" s="110"/>
      <c r="O90" s="110"/>
      <c r="P90" s="110"/>
      <c r="Q90" s="110"/>
      <c r="R90" s="110"/>
      <c r="S90" s="110"/>
      <c r="T90" s="110"/>
    </row>
    <row r="91" spans="1:20">
      <c r="A91" s="7" t="s">
        <v>109</v>
      </c>
      <c r="B91" s="8">
        <v>414534000</v>
      </c>
      <c r="C91" s="8">
        <v>494006</v>
      </c>
      <c r="D91" s="9">
        <v>242</v>
      </c>
      <c r="E91" s="23">
        <f t="shared" si="10"/>
        <v>0.53894432116147362</v>
      </c>
      <c r="F91" s="9">
        <v>560</v>
      </c>
      <c r="G91" s="29">
        <f t="shared" si="5"/>
        <v>840</v>
      </c>
      <c r="H91" s="131"/>
      <c r="I91" s="144">
        <f>IF($P$1&lt;235,999,IF(($P$1-D91)&gt;=5,1.2,VLOOKUP(($P$1-D91),LEV_Force!$F$6:$H$86,2,FALSE)))</f>
        <v>1.2</v>
      </c>
      <c r="J91" s="144">
        <f t="shared" si="6"/>
        <v>1.5</v>
      </c>
      <c r="K91" s="18">
        <f t="shared" si="7"/>
        <v>230296666.66666666</v>
      </c>
      <c r="L91" s="145">
        <f>IF($P$1-D91&gt;40,0.7,VLOOKUP(($P$1-D91),LEV_Force!$F$6:$H$86,3,FALSE))</f>
        <v>1.05</v>
      </c>
      <c r="M91" s="19">
        <f t="shared" si="8"/>
        <v>518706.30000000005</v>
      </c>
      <c r="N91" s="110"/>
      <c r="O91" s="110"/>
      <c r="P91" s="110"/>
      <c r="Q91" s="110"/>
      <c r="R91" s="110"/>
      <c r="S91" s="110"/>
      <c r="T91" s="110"/>
    </row>
    <row r="92" spans="1:20">
      <c r="A92" s="7" t="s">
        <v>110</v>
      </c>
      <c r="B92" s="8">
        <v>422798000</v>
      </c>
      <c r="C92" s="8">
        <v>501461</v>
      </c>
      <c r="D92" s="9">
        <v>243</v>
      </c>
      <c r="E92" s="23">
        <f t="shared" si="10"/>
        <v>0.53638431742575787</v>
      </c>
      <c r="F92" s="9">
        <v>560</v>
      </c>
      <c r="G92" s="29">
        <f t="shared" si="5"/>
        <v>840</v>
      </c>
      <c r="H92" s="131"/>
      <c r="I92" s="144">
        <f>IF($P$1&lt;235,999,IF(($P$1-D92)&gt;=5,1.2,VLOOKUP(($P$1-D92),LEV_Force!$F$6:$H$86,2,FALSE)))</f>
        <v>1.2</v>
      </c>
      <c r="J92" s="144">
        <f t="shared" si="6"/>
        <v>1.5</v>
      </c>
      <c r="K92" s="18">
        <f t="shared" si="7"/>
        <v>234887777.77777779</v>
      </c>
      <c r="L92" s="145">
        <f>IF($P$1-D92&gt;40,0.7,VLOOKUP(($P$1-D92),LEV_Force!$F$6:$H$86,3,FALSE))</f>
        <v>1.05</v>
      </c>
      <c r="M92" s="19">
        <f t="shared" si="8"/>
        <v>526534.05000000005</v>
      </c>
      <c r="N92" s="110"/>
      <c r="O92" s="110"/>
      <c r="P92" s="110"/>
      <c r="Q92" s="110"/>
      <c r="R92" s="110"/>
      <c r="S92" s="110"/>
      <c r="T92" s="110"/>
    </row>
    <row r="93" spans="1:20">
      <c r="A93" s="7" t="s">
        <v>111</v>
      </c>
      <c r="B93" s="8">
        <v>431142000</v>
      </c>
      <c r="C93" s="8">
        <v>509964</v>
      </c>
      <c r="D93" s="9">
        <v>244</v>
      </c>
      <c r="E93" s="23">
        <f t="shared" si="10"/>
        <v>0.53492269064925091</v>
      </c>
      <c r="F93" s="9">
        <v>600</v>
      </c>
      <c r="G93" s="29">
        <f t="shared" si="5"/>
        <v>900</v>
      </c>
      <c r="H93" s="131"/>
      <c r="I93" s="144">
        <f>IF($P$1&lt;235,999,IF(($P$1-D93)&gt;=5,1.2,VLOOKUP(($P$1-D93),LEV_Force!$F$6:$H$86,2,FALSE)))</f>
        <v>1.2</v>
      </c>
      <c r="J93" s="144">
        <f t="shared" si="6"/>
        <v>1.5</v>
      </c>
      <c r="K93" s="18">
        <f t="shared" si="7"/>
        <v>239523333.33333334</v>
      </c>
      <c r="L93" s="145">
        <f>IF($P$1-D93&gt;40,0.7,VLOOKUP(($P$1-D93),LEV_Force!$F$6:$H$86,3,FALSE))</f>
        <v>1.05</v>
      </c>
      <c r="M93" s="19">
        <f t="shared" si="8"/>
        <v>535462.20000000007</v>
      </c>
      <c r="N93" s="110"/>
      <c r="O93" s="110"/>
      <c r="P93" s="110"/>
      <c r="Q93" s="110"/>
      <c r="R93" s="110"/>
      <c r="S93" s="110"/>
      <c r="T93" s="110"/>
    </row>
    <row r="94" spans="1:20">
      <c r="A94" s="7" t="s">
        <v>112</v>
      </c>
      <c r="B94" s="8">
        <v>439566000</v>
      </c>
      <c r="C94" s="8">
        <v>518511</v>
      </c>
      <c r="D94" s="9">
        <v>245</v>
      </c>
      <c r="E94" s="23">
        <f t="shared" si="10"/>
        <v>0.53346473438780972</v>
      </c>
      <c r="F94" s="9">
        <v>600</v>
      </c>
      <c r="G94" s="29">
        <f t="shared" si="5"/>
        <v>900</v>
      </c>
      <c r="H94" s="131"/>
      <c r="I94" s="144">
        <f>IF($P$1&lt;235,999,IF(($P$1-D94)&gt;=5,1.2,VLOOKUP(($P$1-D94),LEV_Force!$F$6:$H$86,2,FALSE)))</f>
        <v>1.18</v>
      </c>
      <c r="J94" s="144">
        <f t="shared" si="6"/>
        <v>1.5</v>
      </c>
      <c r="K94" s="18">
        <f t="shared" si="7"/>
        <v>248342372.88135597</v>
      </c>
      <c r="L94" s="145">
        <f>IF($P$1-D94&gt;40,0.7,VLOOKUP(($P$1-D94),LEV_Force!$F$6:$H$86,3,FALSE))</f>
        <v>1.1000000000000001</v>
      </c>
      <c r="M94" s="19">
        <f t="shared" si="8"/>
        <v>570362.10000000009</v>
      </c>
      <c r="N94" s="110"/>
      <c r="O94" s="110"/>
      <c r="P94" s="110"/>
      <c r="Q94" s="110"/>
      <c r="R94" s="110"/>
      <c r="S94" s="110"/>
      <c r="T94" s="110"/>
    </row>
    <row r="95" spans="1:20">
      <c r="A95" s="7" t="s">
        <v>113</v>
      </c>
      <c r="B95" s="8">
        <v>447700000</v>
      </c>
      <c r="C95" s="8">
        <v>527106</v>
      </c>
      <c r="D95" s="9">
        <v>246</v>
      </c>
      <c r="E95" s="23">
        <f t="shared" si="10"/>
        <v>0.53245474166390594</v>
      </c>
      <c r="F95" s="9">
        <v>600</v>
      </c>
      <c r="G95" s="29">
        <f t="shared" si="5"/>
        <v>900</v>
      </c>
      <c r="H95" s="131"/>
      <c r="I95" s="144">
        <f>IF($P$1&lt;235,999,IF(($P$1-D95)&gt;=5,1.2,VLOOKUP(($P$1-D95),LEV_Force!$F$6:$H$86,2,FALSE)))</f>
        <v>1.1599999999999999</v>
      </c>
      <c r="J95" s="144">
        <f t="shared" si="6"/>
        <v>1.5</v>
      </c>
      <c r="K95" s="18">
        <f t="shared" si="7"/>
        <v>257298850.57471266</v>
      </c>
      <c r="L95" s="145">
        <f>IF($P$1-D95&gt;40,0.7,VLOOKUP(($P$1-D95),LEV_Force!$F$6:$H$86,3,FALSE))</f>
        <v>1.1000000000000001</v>
      </c>
      <c r="M95" s="19">
        <f t="shared" si="8"/>
        <v>579816.60000000009</v>
      </c>
      <c r="N95" s="110"/>
      <c r="O95" s="110"/>
      <c r="P95" s="110"/>
      <c r="Q95" s="110"/>
      <c r="R95" s="110"/>
      <c r="S95" s="110"/>
      <c r="T95" s="110"/>
    </row>
    <row r="96" spans="1:20">
      <c r="A96" s="7" t="s">
        <v>114</v>
      </c>
      <c r="B96" s="8">
        <v>456280000</v>
      </c>
      <c r="C96" s="8">
        <v>535749</v>
      </c>
      <c r="D96" s="9">
        <v>247</v>
      </c>
      <c r="E96" s="23">
        <f t="shared" si="10"/>
        <v>0.53100886278810244</v>
      </c>
      <c r="F96" s="9">
        <v>600</v>
      </c>
      <c r="G96" s="29">
        <f t="shared" si="5"/>
        <v>900</v>
      </c>
      <c r="H96" s="131"/>
      <c r="I96" s="144">
        <f>IF($P$1&lt;235,999,IF(($P$1-D96)&gt;=5,1.2,VLOOKUP(($P$1-D96),LEV_Force!$F$6:$H$86,2,FALSE)))</f>
        <v>1.1399999999999999</v>
      </c>
      <c r="J96" s="144">
        <f t="shared" si="6"/>
        <v>1.5</v>
      </c>
      <c r="K96" s="18">
        <f t="shared" si="7"/>
        <v>266830409.35672519</v>
      </c>
      <c r="L96" s="145">
        <f>IF($P$1-D96&gt;40,0.7,VLOOKUP(($P$1-D96),LEV_Force!$F$6:$H$86,3,FALSE))</f>
        <v>1.1000000000000001</v>
      </c>
      <c r="M96" s="19">
        <f t="shared" si="8"/>
        <v>589323.9</v>
      </c>
      <c r="N96" s="110"/>
      <c r="O96" s="110"/>
      <c r="P96" s="110"/>
      <c r="Q96" s="110"/>
      <c r="R96" s="110"/>
      <c r="S96" s="110"/>
      <c r="T96" s="110"/>
    </row>
    <row r="97" spans="1:20">
      <c r="A97" s="7" t="s">
        <v>115</v>
      </c>
      <c r="B97" s="8">
        <v>318873600</v>
      </c>
      <c r="C97" s="8">
        <v>470824</v>
      </c>
      <c r="D97" s="9">
        <v>240</v>
      </c>
      <c r="E97" s="75">
        <f t="shared" si="10"/>
        <v>0.66774687049160708</v>
      </c>
      <c r="F97" s="9">
        <v>640</v>
      </c>
      <c r="G97" s="29">
        <f t="shared" si="5"/>
        <v>960</v>
      </c>
      <c r="H97" s="131" t="s">
        <v>470</v>
      </c>
      <c r="I97" s="144">
        <f>IF($P$1&lt;235,999,IF(($P$1-D97)&gt;=5,1.2,VLOOKUP(($P$1-D97),LEV_Force!$F$6:$H$86,2,FALSE)))</f>
        <v>1.2</v>
      </c>
      <c r="J97" s="144">
        <f t="shared" si="6"/>
        <v>1.5</v>
      </c>
      <c r="K97" s="18">
        <f t="shared" si="7"/>
        <v>177152000</v>
      </c>
      <c r="L97" s="145">
        <f>IF($P$1-D97&gt;40,0.7,VLOOKUP(($P$1-D97),LEV_Force!$F$6:$H$86,3,FALSE))</f>
        <v>1.05</v>
      </c>
      <c r="M97" s="19">
        <f t="shared" si="8"/>
        <v>494365.2</v>
      </c>
      <c r="N97" s="110"/>
      <c r="O97" s="110"/>
      <c r="P97" s="110"/>
      <c r="Q97" s="110"/>
      <c r="R97" s="110"/>
      <c r="S97" s="110"/>
      <c r="T97" s="110"/>
    </row>
    <row r="98" spans="1:20">
      <c r="A98" s="7" t="s">
        <v>116</v>
      </c>
      <c r="B98" s="8">
        <v>464940000</v>
      </c>
      <c r="C98" s="8">
        <v>544459</v>
      </c>
      <c r="D98" s="9">
        <v>248</v>
      </c>
      <c r="E98" s="23">
        <f t="shared" si="10"/>
        <v>0.52959039932591889</v>
      </c>
      <c r="F98" s="9">
        <v>640</v>
      </c>
      <c r="G98" s="29">
        <f t="shared" si="5"/>
        <v>960</v>
      </c>
      <c r="H98" s="131"/>
      <c r="I98" s="144">
        <f>IF($P$1&lt;235,999,IF(($P$1-D98)&gt;=5,1.2,VLOOKUP(($P$1-D98),LEV_Force!$F$6:$H$86,2,FALSE)))</f>
        <v>1.1199999999999999</v>
      </c>
      <c r="J98" s="144">
        <f t="shared" si="6"/>
        <v>1.5</v>
      </c>
      <c r="K98" s="18">
        <f t="shared" si="7"/>
        <v>276750000.00000006</v>
      </c>
      <c r="L98" s="145">
        <f>IF($P$1-D98&gt;40,0.7,VLOOKUP(($P$1-D98),LEV_Force!$F$6:$H$86,3,FALSE))</f>
        <v>1.1000000000000001</v>
      </c>
      <c r="M98" s="19">
        <f t="shared" si="8"/>
        <v>598904.9</v>
      </c>
      <c r="N98" s="110"/>
      <c r="O98" s="110"/>
      <c r="P98" s="110"/>
      <c r="Q98" s="110"/>
      <c r="R98" s="110"/>
      <c r="S98" s="110"/>
      <c r="T98" s="110"/>
    </row>
    <row r="99" spans="1:20" ht="18" thickBot="1">
      <c r="A99" s="10" t="s">
        <v>117</v>
      </c>
      <c r="B99" s="11">
        <v>473680000</v>
      </c>
      <c r="C99" s="11">
        <v>553217</v>
      </c>
      <c r="D99" s="12">
        <v>249</v>
      </c>
      <c r="E99" s="24">
        <f t="shared" si="10"/>
        <v>0.52818042618484229</v>
      </c>
      <c r="F99" s="12">
        <v>640</v>
      </c>
      <c r="G99" s="30">
        <f t="shared" si="5"/>
        <v>960</v>
      </c>
      <c r="H99" s="132"/>
      <c r="I99" s="144">
        <f>IF($P$1&lt;235,999,IF(($P$1-D99)&gt;=5,1.2,VLOOKUP(($P$1-D99),LEV_Force!$F$6:$H$86,2,FALSE)))</f>
        <v>1.0999999999999999</v>
      </c>
      <c r="J99" s="144">
        <f t="shared" si="6"/>
        <v>1.5</v>
      </c>
      <c r="K99" s="18">
        <f t="shared" si="7"/>
        <v>287078787.87878793</v>
      </c>
      <c r="L99" s="145">
        <f>IF($P$1-D99&gt;40,0.7,VLOOKUP(($P$1-D99),LEV_Force!$F$6:$H$86,3,FALSE))</f>
        <v>1.1000000000000001</v>
      </c>
      <c r="M99" s="19">
        <f t="shared" si="8"/>
        <v>608538.70000000007</v>
      </c>
      <c r="N99" s="110"/>
      <c r="O99" s="110"/>
      <c r="P99" s="110"/>
      <c r="Q99" s="110"/>
      <c r="R99" s="110"/>
      <c r="S99" s="110"/>
      <c r="T99" s="110"/>
    </row>
    <row r="100" spans="1:20" s="106" customFormat="1">
      <c r="A100" s="4" t="s">
        <v>536</v>
      </c>
      <c r="B100" s="5">
        <v>530750000</v>
      </c>
      <c r="C100" s="5">
        <v>584807</v>
      </c>
      <c r="D100" s="6">
        <v>250</v>
      </c>
      <c r="E100" s="25">
        <f t="shared" si="10"/>
        <v>0.4983040225927175</v>
      </c>
      <c r="F100" s="136">
        <v>670</v>
      </c>
      <c r="G100" s="137">
        <f t="shared" si="5"/>
        <v>1005</v>
      </c>
      <c r="H100" s="130" t="s">
        <v>470</v>
      </c>
      <c r="I100" s="144">
        <f>IF($P$1&lt;245,999,IF(($P$1-D100)&gt;=5,1.2,VLOOKUP(($P$1-D100),LEV_Force!$F$6:$H$86,2,FALSE)))</f>
        <v>1.0584</v>
      </c>
      <c r="J100" s="144">
        <f t="shared" si="6"/>
        <v>1.5</v>
      </c>
      <c r="K100" s="18">
        <f t="shared" si="7"/>
        <v>334309649.78584027</v>
      </c>
      <c r="L100" s="145">
        <f>IF($P$1-D100&gt;40,0.7,VLOOKUP(($P$1-D100),LEV_Force!$F$6:$H$86,3,FALSE))</f>
        <v>1.1000000000000001</v>
      </c>
      <c r="M100" s="19">
        <f t="shared" si="8"/>
        <v>643287.70000000007</v>
      </c>
      <c r="N100" s="110"/>
      <c r="O100" s="110"/>
      <c r="P100" s="110"/>
      <c r="Q100" s="110"/>
      <c r="R100" s="110"/>
      <c r="S100" s="110"/>
      <c r="T100" s="110"/>
    </row>
    <row r="101" spans="1:20">
      <c r="A101" s="13" t="s">
        <v>503</v>
      </c>
      <c r="B101" s="14">
        <v>530750000</v>
      </c>
      <c r="C101" s="14">
        <v>584807</v>
      </c>
      <c r="D101" s="15">
        <v>250</v>
      </c>
      <c r="E101" s="120">
        <f t="shared" si="10"/>
        <v>0.4983040225927175</v>
      </c>
      <c r="F101" s="138">
        <v>670</v>
      </c>
      <c r="G101" s="76">
        <f t="shared" si="5"/>
        <v>1005</v>
      </c>
      <c r="H101" s="133"/>
      <c r="I101" s="144">
        <f>IF($P$1&lt;245,999,IF(($P$1-D101)&gt;=5,1.2,VLOOKUP(($P$1-D101),LEV_Force!$F$6:$H$86,2,FALSE)))</f>
        <v>1.0584</v>
      </c>
      <c r="J101" s="144">
        <f t="shared" si="6"/>
        <v>1.5</v>
      </c>
      <c r="K101" s="18">
        <f t="shared" si="7"/>
        <v>334309649.78584027</v>
      </c>
      <c r="L101" s="145">
        <f>IF($P$1-D101&gt;40,0.7,VLOOKUP(($P$1-D101),LEV_Force!$F$6:$H$86,3,FALSE))</f>
        <v>1.1000000000000001</v>
      </c>
      <c r="M101" s="19">
        <f t="shared" si="8"/>
        <v>643287.70000000007</v>
      </c>
    </row>
    <row r="102" spans="1:20">
      <c r="A102" s="7" t="s">
        <v>504</v>
      </c>
      <c r="B102" s="8">
        <v>540540000</v>
      </c>
      <c r="C102" s="8">
        <v>594040</v>
      </c>
      <c r="D102" s="9">
        <v>251</v>
      </c>
      <c r="E102" s="23">
        <f t="shared" si="10"/>
        <v>0.49700377292872333</v>
      </c>
      <c r="F102" s="9">
        <v>670</v>
      </c>
      <c r="G102" s="76">
        <f t="shared" si="5"/>
        <v>1005</v>
      </c>
      <c r="H102" s="133"/>
      <c r="I102" s="144">
        <f>IF($P$1&lt;245,999,IF(($P$1-D102)&gt;=5,1.2,VLOOKUP(($P$1-D102),LEV_Force!$F$6:$H$86,2,FALSE)))</f>
        <v>1.0069999999999999</v>
      </c>
      <c r="J102" s="144">
        <f t="shared" si="6"/>
        <v>1.5</v>
      </c>
      <c r="K102" s="18">
        <f t="shared" si="7"/>
        <v>357855014.89572996</v>
      </c>
      <c r="L102" s="145">
        <f>IF($P$1-D102&gt;40,0.7,VLOOKUP(($P$1-D102),LEV_Force!$F$6:$H$86,3,FALSE))</f>
        <v>1.1000000000000001</v>
      </c>
      <c r="M102" s="19">
        <f t="shared" si="8"/>
        <v>653444</v>
      </c>
    </row>
    <row r="103" spans="1:20">
      <c r="A103" s="7" t="s">
        <v>505</v>
      </c>
      <c r="B103" s="8">
        <v>550418000</v>
      </c>
      <c r="C103" s="8">
        <v>603318</v>
      </c>
      <c r="D103" s="9">
        <v>252</v>
      </c>
      <c r="E103" s="23">
        <f t="shared" si="10"/>
        <v>0.49570749826634947</v>
      </c>
      <c r="F103" s="9">
        <v>700</v>
      </c>
      <c r="G103" s="29">
        <f t="shared" si="5"/>
        <v>1050</v>
      </c>
      <c r="H103" s="131"/>
      <c r="I103" s="144">
        <f>IF($P$1&lt;245,999,IF(($P$1-D103)&gt;=5,1.2,VLOOKUP(($P$1-D103),LEV_Force!$F$6:$H$86,2,FALSE)))</f>
        <v>0.96719999999999995</v>
      </c>
      <c r="J103" s="144">
        <f t="shared" si="6"/>
        <v>1.5</v>
      </c>
      <c r="K103" s="18">
        <f t="shared" si="7"/>
        <v>379389302.45381862</v>
      </c>
      <c r="L103" s="145">
        <f>IF($P$1-D103&gt;40,0.7,VLOOKUP(($P$1-D103),LEV_Force!$F$6:$H$86,3,FALSE))</f>
        <v>1.1000000000000001</v>
      </c>
      <c r="M103" s="19">
        <f t="shared" si="8"/>
        <v>663649.80000000005</v>
      </c>
    </row>
    <row r="104" spans="1:20">
      <c r="A104" s="7" t="s">
        <v>506</v>
      </c>
      <c r="B104" s="8">
        <v>560384000</v>
      </c>
      <c r="C104" s="8">
        <v>612643</v>
      </c>
      <c r="D104" s="9">
        <v>253</v>
      </c>
      <c r="E104" s="23">
        <f t="shared" ref="E104:E132" si="11">C104/B104*($B$2/$C$2)</f>
        <v>0.49441721313004955</v>
      </c>
      <c r="F104" s="9">
        <v>700</v>
      </c>
      <c r="G104" s="29">
        <f t="shared" si="5"/>
        <v>1050</v>
      </c>
      <c r="H104" s="131"/>
      <c r="I104" s="144">
        <f>IF($P$1&lt;245,999,IF(($P$1-D104)&gt;=5,1.2,VLOOKUP(($P$1-D104),LEV_Force!$F$6:$H$86,2,FALSE)))</f>
        <v>0.91800000000000004</v>
      </c>
      <c r="J104" s="144">
        <f t="shared" si="6"/>
        <v>1.5</v>
      </c>
      <c r="K104" s="18">
        <f t="shared" si="7"/>
        <v>406960058.09731299</v>
      </c>
      <c r="L104" s="145">
        <f>IF($P$1-D104&gt;40,0.7,VLOOKUP(($P$1-D104),LEV_Force!$F$6:$H$86,3,FALSE))</f>
        <v>1.1000000000000001</v>
      </c>
      <c r="M104" s="19">
        <f t="shared" si="8"/>
        <v>673907.3</v>
      </c>
    </row>
    <row r="105" spans="1:20">
      <c r="A105" s="7" t="s">
        <v>507</v>
      </c>
      <c r="B105" s="8">
        <v>570438000</v>
      </c>
      <c r="C105" s="8">
        <v>622041</v>
      </c>
      <c r="D105" s="9">
        <v>254</v>
      </c>
      <c r="E105" s="23">
        <f t="shared" si="11"/>
        <v>0.49315381352935855</v>
      </c>
      <c r="F105" s="9">
        <v>730</v>
      </c>
      <c r="G105" s="29">
        <f t="shared" si="5"/>
        <v>1095</v>
      </c>
      <c r="H105" s="131"/>
      <c r="I105" s="144">
        <f>IF($P$1&lt;245,999,IF(($P$1-D105)&gt;=5,1.2,VLOOKUP(($P$1-D105),LEV_Force!$F$6:$H$86,2,FALSE)))</f>
        <v>0.88</v>
      </c>
      <c r="J105" s="144">
        <f t="shared" si="6"/>
        <v>1.5</v>
      </c>
      <c r="K105" s="18">
        <f t="shared" si="7"/>
        <v>432150000</v>
      </c>
      <c r="L105" s="145">
        <f>IF($P$1-D105&gt;40,0.7,VLOOKUP(($P$1-D105),LEV_Force!$F$6:$H$86,3,FALSE))</f>
        <v>1.05</v>
      </c>
      <c r="M105" s="19">
        <f t="shared" si="8"/>
        <v>653143.05000000005</v>
      </c>
    </row>
    <row r="106" spans="1:20" ht="18" thickBot="1">
      <c r="A106" s="116" t="s">
        <v>508</v>
      </c>
      <c r="B106" s="117">
        <v>570438000</v>
      </c>
      <c r="C106" s="117">
        <v>622041</v>
      </c>
      <c r="D106" s="118">
        <v>254</v>
      </c>
      <c r="E106" s="119">
        <f t="shared" si="11"/>
        <v>0.49315381352935855</v>
      </c>
      <c r="F106" s="118">
        <v>730</v>
      </c>
      <c r="G106" s="128">
        <f t="shared" si="5"/>
        <v>1095</v>
      </c>
      <c r="H106" s="134"/>
      <c r="I106" s="144">
        <f>IF($P$1&lt;245,999,IF(($P$1-D106)&gt;=5,1.2,VLOOKUP(($P$1-D106),LEV_Force!$F$6:$H$86,2,FALSE)))</f>
        <v>0.88</v>
      </c>
      <c r="J106" s="144">
        <f t="shared" si="6"/>
        <v>1.5</v>
      </c>
      <c r="K106" s="20">
        <f t="shared" si="7"/>
        <v>432150000</v>
      </c>
      <c r="L106" s="146">
        <f>IF($P$1-D106&gt;40,0.7,VLOOKUP(($P$1-D106),LEV_Force!$F$6:$H$86,3,FALSE))</f>
        <v>1.05</v>
      </c>
      <c r="M106" s="21">
        <f t="shared" si="8"/>
        <v>653143.05000000005</v>
      </c>
    </row>
    <row r="107" spans="1:20">
      <c r="A107" s="4" t="s">
        <v>511</v>
      </c>
      <c r="B107" s="5">
        <v>581026600</v>
      </c>
      <c r="C107" s="5">
        <v>631458</v>
      </c>
      <c r="D107" s="6">
        <v>255</v>
      </c>
      <c r="E107" s="25">
        <f t="shared" si="11"/>
        <v>0.49149633978557483</v>
      </c>
      <c r="F107" s="136">
        <v>760</v>
      </c>
      <c r="G107" s="137">
        <f t="shared" si="5"/>
        <v>1140</v>
      </c>
      <c r="H107" s="130" t="s">
        <v>470</v>
      </c>
      <c r="I107" s="144">
        <f>IF($P$1&lt;250,999,IF(($P$1-D107)&gt;=5,1.2,VLOOKUP(($P$1-D107),LEV_Force!$F$6:$H$86,2,FALSE)))</f>
        <v>999</v>
      </c>
      <c r="J107" s="144">
        <f t="shared" si="6"/>
        <v>1.5</v>
      </c>
      <c r="K107" s="16" t="str">
        <f t="shared" si="7"/>
        <v>레벨 부족</v>
      </c>
      <c r="L107" s="150">
        <f>IF($P$1-D107&gt;40,0.7,VLOOKUP(($P$1-D107),LEV_Force!$F$6:$H$86,3,FALSE))</f>
        <v>1.05</v>
      </c>
      <c r="M107" s="17" t="str">
        <f t="shared" si="8"/>
        <v>레벨 부족</v>
      </c>
    </row>
    <row r="108" spans="1:20">
      <c r="A108" s="7" t="s">
        <v>512</v>
      </c>
      <c r="B108" s="8">
        <v>581026600</v>
      </c>
      <c r="C108" s="8">
        <v>631458</v>
      </c>
      <c r="D108" s="9">
        <v>255</v>
      </c>
      <c r="E108" s="23">
        <f t="shared" si="11"/>
        <v>0.49149633978557483</v>
      </c>
      <c r="F108" s="139">
        <v>760</v>
      </c>
      <c r="G108" s="140">
        <f t="shared" si="5"/>
        <v>1140</v>
      </c>
      <c r="H108" s="131" t="s">
        <v>470</v>
      </c>
      <c r="I108" s="144">
        <f>IF($P$1&lt;250,999,IF(($P$1-D108)&gt;=5,1.2,VLOOKUP(($P$1-D108),LEV_Force!$F$6:$H$86,2,FALSE)))</f>
        <v>999</v>
      </c>
      <c r="J108" s="144">
        <f t="shared" si="6"/>
        <v>1.5</v>
      </c>
      <c r="K108" s="18" t="str">
        <f t="shared" si="7"/>
        <v>레벨 부족</v>
      </c>
      <c r="L108" s="145">
        <f>IF($P$1-D108&gt;40,0.7,VLOOKUP(($P$1-D108),LEV_Force!$F$6:$H$86,3,FALSE))</f>
        <v>1.05</v>
      </c>
      <c r="M108" s="19" t="str">
        <f t="shared" si="8"/>
        <v>레벨 부족</v>
      </c>
    </row>
    <row r="109" spans="1:20" s="106" customFormat="1">
      <c r="A109" s="13" t="s">
        <v>509</v>
      </c>
      <c r="B109" s="14">
        <v>581026600</v>
      </c>
      <c r="C109" s="14">
        <v>631458</v>
      </c>
      <c r="D109" s="15">
        <v>255</v>
      </c>
      <c r="E109" s="22">
        <f>C109/B109*($B$2/$C$2)</f>
        <v>0.49149633978557483</v>
      </c>
      <c r="F109" s="15">
        <v>760</v>
      </c>
      <c r="G109" s="76">
        <f t="shared" si="5"/>
        <v>1140</v>
      </c>
      <c r="H109" s="133"/>
      <c r="I109" s="144">
        <f>IF($P$1&lt;250,999,IF(($P$1-D109)&gt;=5,1.2,VLOOKUP(($P$1-D109),LEV_Force!$F$6:$H$86,2,FALSE)))</f>
        <v>999</v>
      </c>
      <c r="J109" s="144">
        <f t="shared" si="6"/>
        <v>1.5</v>
      </c>
      <c r="K109" s="18" t="str">
        <f t="shared" si="7"/>
        <v>레벨 부족</v>
      </c>
      <c r="L109" s="145">
        <f>IF($P$1-D109&gt;40,0.7,VLOOKUP(($P$1-D109),LEV_Force!$F$6:$H$86,3,FALSE))</f>
        <v>1.05</v>
      </c>
      <c r="M109" s="19" t="str">
        <f t="shared" si="8"/>
        <v>레벨 부족</v>
      </c>
      <c r="N109" s="105"/>
      <c r="O109" s="105"/>
      <c r="P109" s="105"/>
      <c r="Q109" s="105"/>
      <c r="R109" s="105"/>
      <c r="S109" s="105"/>
      <c r="T109" s="105"/>
    </row>
    <row r="110" spans="1:20" s="106" customFormat="1">
      <c r="A110" s="7" t="s">
        <v>510</v>
      </c>
      <c r="B110" s="8">
        <v>581026600</v>
      </c>
      <c r="C110" s="8">
        <v>631458</v>
      </c>
      <c r="D110" s="9">
        <v>255</v>
      </c>
      <c r="E110" s="23">
        <f>C110/B110*($B$2/$C$2)</f>
        <v>0.49149633978557483</v>
      </c>
      <c r="F110" s="9">
        <v>760</v>
      </c>
      <c r="G110" s="29">
        <f t="shared" si="5"/>
        <v>1140</v>
      </c>
      <c r="H110" s="131"/>
      <c r="I110" s="144">
        <f>IF($P$1&lt;250,999,IF(($P$1-D110)&gt;=5,1.2,VLOOKUP(($P$1-D110),LEV_Force!$F$6:$H$86,2,FALSE)))</f>
        <v>999</v>
      </c>
      <c r="J110" s="144">
        <f t="shared" si="6"/>
        <v>1.5</v>
      </c>
      <c r="K110" s="18" t="str">
        <f t="shared" si="7"/>
        <v>레벨 부족</v>
      </c>
      <c r="L110" s="145">
        <f>IF($P$1-D110&gt;40,0.7,VLOOKUP(($P$1-D110),LEV_Force!$F$6:$H$86,3,FALSE))</f>
        <v>1.05</v>
      </c>
      <c r="M110" s="19" t="str">
        <f t="shared" si="8"/>
        <v>레벨 부족</v>
      </c>
      <c r="N110" s="105"/>
      <c r="O110" s="105"/>
      <c r="P110" s="105"/>
      <c r="Q110" s="105"/>
      <c r="R110" s="105"/>
      <c r="S110" s="105"/>
      <c r="T110" s="105"/>
    </row>
    <row r="111" spans="1:20">
      <c r="A111" s="7" t="s">
        <v>513</v>
      </c>
      <c r="B111" s="8">
        <v>591261000</v>
      </c>
      <c r="C111" s="8">
        <v>640971</v>
      </c>
      <c r="D111" s="9">
        <v>256</v>
      </c>
      <c r="E111" s="75">
        <f t="shared" si="11"/>
        <v>0.4902651023491596</v>
      </c>
      <c r="F111" s="9">
        <v>760</v>
      </c>
      <c r="G111" s="29">
        <f t="shared" si="5"/>
        <v>1140</v>
      </c>
      <c r="H111" s="131"/>
      <c r="I111" s="144">
        <f>IF($P$1&lt;250,999,IF(($P$1-D111)&gt;=5,1.2,VLOOKUP(($P$1-D111),LEV_Force!$F$6:$H$86,2,FALSE)))</f>
        <v>999</v>
      </c>
      <c r="J111" s="144">
        <f t="shared" si="6"/>
        <v>1.5</v>
      </c>
      <c r="K111" s="18" t="str">
        <f t="shared" si="7"/>
        <v>레벨 부족</v>
      </c>
      <c r="L111" s="145">
        <f>IF($P$1-D111&gt;40,0.7,VLOOKUP(($P$1-D111),LEV_Force!$F$6:$H$86,3,FALSE))</f>
        <v>1.05</v>
      </c>
      <c r="M111" s="19" t="str">
        <f t="shared" si="8"/>
        <v>레벨 부족</v>
      </c>
    </row>
    <row r="112" spans="1:20">
      <c r="A112" s="7" t="s">
        <v>514</v>
      </c>
      <c r="B112" s="8">
        <v>591261000</v>
      </c>
      <c r="C112" s="8">
        <v>640971</v>
      </c>
      <c r="D112" s="9">
        <v>256</v>
      </c>
      <c r="E112" s="23">
        <f t="shared" si="11"/>
        <v>0.4902651023491596</v>
      </c>
      <c r="F112" s="9">
        <v>760</v>
      </c>
      <c r="G112" s="29">
        <f t="shared" si="5"/>
        <v>1140</v>
      </c>
      <c r="H112" s="131"/>
      <c r="I112" s="144">
        <f>IF($P$1&lt;250,999,IF(($P$1-D112)&gt;=5,1.2,VLOOKUP(($P$1-D112),LEV_Force!$F$6:$H$86,2,FALSE)))</f>
        <v>999</v>
      </c>
      <c r="J112" s="144">
        <f t="shared" si="6"/>
        <v>1.5</v>
      </c>
      <c r="K112" s="18" t="str">
        <f t="shared" si="7"/>
        <v>레벨 부족</v>
      </c>
      <c r="L112" s="145">
        <f>IF($P$1-D112&gt;40,0.7,VLOOKUP(($P$1-D112),LEV_Force!$F$6:$H$86,3,FALSE))</f>
        <v>1.05</v>
      </c>
      <c r="M112" s="19" t="str">
        <f t="shared" si="8"/>
        <v>레벨 부족</v>
      </c>
    </row>
    <row r="113" spans="1:13">
      <c r="A113" s="7" t="s">
        <v>515</v>
      </c>
      <c r="B113" s="8">
        <v>17737830000</v>
      </c>
      <c r="C113" s="8">
        <v>9614567</v>
      </c>
      <c r="D113" s="9">
        <v>256</v>
      </c>
      <c r="E113" s="23">
        <f t="shared" si="11"/>
        <v>0.24513260216649702</v>
      </c>
      <c r="F113" s="9">
        <v>760</v>
      </c>
      <c r="G113" s="29">
        <f t="shared" si="5"/>
        <v>1140</v>
      </c>
      <c r="H113" s="131"/>
      <c r="I113" s="144">
        <f>IF($P$1&lt;250,999,IF(($P$1-D113)&gt;=5,1.2,VLOOKUP(($P$1-D113),LEV_Force!$F$6:$H$86,2,FALSE)))</f>
        <v>999</v>
      </c>
      <c r="J113" s="144">
        <f t="shared" si="6"/>
        <v>1.5</v>
      </c>
      <c r="K113" s="18" t="str">
        <f t="shared" si="7"/>
        <v>레벨 부족</v>
      </c>
      <c r="L113" s="145">
        <f>IF($P$1-D113&gt;40,0.7,VLOOKUP(($P$1-D113),LEV_Force!$F$6:$H$86,3,FALSE))</f>
        <v>1.05</v>
      </c>
      <c r="M113" s="19" t="str">
        <f t="shared" si="8"/>
        <v>레벨 부족</v>
      </c>
    </row>
    <row r="114" spans="1:13">
      <c r="A114" s="121" t="s">
        <v>516</v>
      </c>
      <c r="B114" s="8">
        <v>8868915000</v>
      </c>
      <c r="C114" s="8">
        <v>4807283</v>
      </c>
      <c r="D114" s="122">
        <v>256</v>
      </c>
      <c r="E114" s="23">
        <f t="shared" si="11"/>
        <v>0.24513257667053842</v>
      </c>
      <c r="F114" s="9">
        <v>760</v>
      </c>
      <c r="G114" s="29">
        <f t="shared" si="5"/>
        <v>1140</v>
      </c>
      <c r="H114" s="131"/>
      <c r="I114" s="144">
        <f>IF($P$1&lt;250,999,IF(($P$1-D114)&gt;=5,1.2,VLOOKUP(($P$1-D114),LEV_Force!$F$6:$H$86,2,FALSE)))</f>
        <v>999</v>
      </c>
      <c r="J114" s="144">
        <f t="shared" si="6"/>
        <v>1.5</v>
      </c>
      <c r="K114" s="18" t="str">
        <f t="shared" si="7"/>
        <v>레벨 부족</v>
      </c>
      <c r="L114" s="145">
        <f>IF($P$1-D114&gt;40,0.7,VLOOKUP(($P$1-D114),LEV_Force!$F$6:$H$86,3,FALSE))</f>
        <v>1.05</v>
      </c>
      <c r="M114" s="19" t="str">
        <f t="shared" si="8"/>
        <v>레벨 부족</v>
      </c>
    </row>
    <row r="115" spans="1:13">
      <c r="A115" s="121" t="s">
        <v>517</v>
      </c>
      <c r="B115" s="8">
        <v>591261000</v>
      </c>
      <c r="C115" s="8">
        <v>640971</v>
      </c>
      <c r="D115" s="122">
        <v>256</v>
      </c>
      <c r="E115" s="23">
        <f t="shared" si="11"/>
        <v>0.4902651023491596</v>
      </c>
      <c r="F115" s="9">
        <v>760</v>
      </c>
      <c r="G115" s="29">
        <f t="shared" si="5"/>
        <v>1140</v>
      </c>
      <c r="H115" s="131"/>
      <c r="I115" s="144">
        <f>IF($P$1&lt;250,999,IF(($P$1-D115)&gt;=5,1.2,VLOOKUP(($P$1-D115),LEV_Force!$F$6:$H$86,2,FALSE)))</f>
        <v>999</v>
      </c>
      <c r="J115" s="144">
        <f t="shared" si="6"/>
        <v>1.5</v>
      </c>
      <c r="K115" s="18" t="str">
        <f t="shared" si="7"/>
        <v>레벨 부족</v>
      </c>
      <c r="L115" s="145">
        <f>IF($P$1-D115&gt;40,0.7,VLOOKUP(($P$1-D115),LEV_Force!$F$6:$H$86,3,FALSE))</f>
        <v>1.05</v>
      </c>
      <c r="M115" s="19" t="str">
        <f t="shared" si="8"/>
        <v>레벨 부족</v>
      </c>
    </row>
    <row r="116" spans="1:13">
      <c r="A116" s="121" t="s">
        <v>518</v>
      </c>
      <c r="B116" s="8">
        <v>601583400</v>
      </c>
      <c r="C116" s="8">
        <v>650504</v>
      </c>
      <c r="D116" s="122">
        <v>257</v>
      </c>
      <c r="E116" s="23">
        <f t="shared" si="11"/>
        <v>0.48901925651815109</v>
      </c>
      <c r="F116" s="9">
        <v>790</v>
      </c>
      <c r="G116" s="29">
        <f t="shared" si="5"/>
        <v>1185</v>
      </c>
      <c r="H116" s="131"/>
      <c r="I116" s="144">
        <f>IF($P$1&lt;250,999,IF(($P$1-D116)&gt;=5,1.2,VLOOKUP(($P$1-D116),LEV_Force!$F$6:$H$86,2,FALSE)))</f>
        <v>999</v>
      </c>
      <c r="J116" s="144">
        <f t="shared" si="6"/>
        <v>1.5</v>
      </c>
      <c r="K116" s="18" t="str">
        <f t="shared" si="7"/>
        <v>레벨 부족</v>
      </c>
      <c r="L116" s="145">
        <f>IF($P$1-D116&gt;40,0.7,VLOOKUP(($P$1-D116),LEV_Force!$F$6:$H$86,3,FALSE))</f>
        <v>1.05</v>
      </c>
      <c r="M116" s="19" t="str">
        <f t="shared" si="8"/>
        <v>레벨 부족</v>
      </c>
    </row>
    <row r="117" spans="1:13">
      <c r="A117" s="121" t="s">
        <v>519</v>
      </c>
      <c r="B117" s="8">
        <v>601583400</v>
      </c>
      <c r="C117" s="8">
        <v>650504</v>
      </c>
      <c r="D117" s="122">
        <v>257</v>
      </c>
      <c r="E117" s="23">
        <f t="shared" si="11"/>
        <v>0.48901925651815109</v>
      </c>
      <c r="F117" s="9">
        <v>790</v>
      </c>
      <c r="G117" s="29">
        <f t="shared" si="5"/>
        <v>1185</v>
      </c>
      <c r="H117" s="131"/>
      <c r="I117" s="144">
        <f>IF($P$1&lt;250,999,IF(($P$1-D117)&gt;=5,1.2,VLOOKUP(($P$1-D117),LEV_Force!$F$6:$H$86,2,FALSE)))</f>
        <v>999</v>
      </c>
      <c r="J117" s="144">
        <f t="shared" si="6"/>
        <v>1.5</v>
      </c>
      <c r="K117" s="18" t="str">
        <f t="shared" si="7"/>
        <v>레벨 부족</v>
      </c>
      <c r="L117" s="145">
        <f>IF($P$1-D117&gt;40,0.7,VLOOKUP(($P$1-D117),LEV_Force!$F$6:$H$86,3,FALSE))</f>
        <v>1.05</v>
      </c>
      <c r="M117" s="19" t="str">
        <f t="shared" si="8"/>
        <v>레벨 부족</v>
      </c>
    </row>
    <row r="118" spans="1:13">
      <c r="A118" s="121" t="s">
        <v>520</v>
      </c>
      <c r="B118" s="8">
        <v>611993800</v>
      </c>
      <c r="C118" s="8">
        <v>661261</v>
      </c>
      <c r="D118" s="122">
        <v>258</v>
      </c>
      <c r="E118" s="23">
        <f t="shared" si="11"/>
        <v>0.48864979470365622</v>
      </c>
      <c r="F118" s="9">
        <v>790</v>
      </c>
      <c r="G118" s="29">
        <f t="shared" si="5"/>
        <v>1185</v>
      </c>
      <c r="H118" s="131"/>
      <c r="I118" s="144">
        <f>IF($P$1&lt;250,999,IF(($P$1-D118)&gt;=5,1.2,VLOOKUP(($P$1-D118),LEV_Force!$F$6:$H$86,2,FALSE)))</f>
        <v>999</v>
      </c>
      <c r="J118" s="144">
        <f t="shared" si="6"/>
        <v>1.5</v>
      </c>
      <c r="K118" s="18" t="str">
        <f t="shared" si="7"/>
        <v>레벨 부족</v>
      </c>
      <c r="L118" s="145">
        <f>IF($P$1-D118&gt;40,0.7,VLOOKUP(($P$1-D118),LEV_Force!$F$6:$H$86,3,FALSE))</f>
        <v>1.05</v>
      </c>
      <c r="M118" s="19" t="str">
        <f t="shared" si="8"/>
        <v>레벨 부족</v>
      </c>
    </row>
    <row r="119" spans="1:13">
      <c r="A119" s="121" t="s">
        <v>521</v>
      </c>
      <c r="B119" s="8">
        <v>611993800</v>
      </c>
      <c r="C119" s="8">
        <v>661261</v>
      </c>
      <c r="D119" s="122">
        <v>258</v>
      </c>
      <c r="E119" s="23">
        <f t="shared" si="11"/>
        <v>0.48864979470365622</v>
      </c>
      <c r="F119" s="9">
        <v>790</v>
      </c>
      <c r="G119" s="29">
        <f t="shared" si="5"/>
        <v>1185</v>
      </c>
      <c r="H119" s="131"/>
      <c r="I119" s="144">
        <f>IF($P$1&lt;250,999,IF(($P$1-D119)&gt;=5,1.2,VLOOKUP(($P$1-D119),LEV_Force!$F$6:$H$86,2,FALSE)))</f>
        <v>999</v>
      </c>
      <c r="J119" s="144">
        <f t="shared" si="6"/>
        <v>1.5</v>
      </c>
      <c r="K119" s="18" t="str">
        <f t="shared" si="7"/>
        <v>레벨 부족</v>
      </c>
      <c r="L119" s="145">
        <f>IF($P$1-D119&gt;40,0.7,VLOOKUP(($P$1-D119),LEV_Force!$F$6:$H$86,3,FALSE))</f>
        <v>1.05</v>
      </c>
      <c r="M119" s="19" t="str">
        <f t="shared" si="8"/>
        <v>레벨 부족</v>
      </c>
    </row>
    <row r="120" spans="1:13">
      <c r="A120" s="121" t="s">
        <v>522</v>
      </c>
      <c r="B120" s="8">
        <v>611993800</v>
      </c>
      <c r="C120" s="8">
        <v>661261</v>
      </c>
      <c r="D120" s="122">
        <v>258</v>
      </c>
      <c r="E120" s="23">
        <f t="shared" si="11"/>
        <v>0.48864979470365622</v>
      </c>
      <c r="F120" s="9">
        <v>790</v>
      </c>
      <c r="G120" s="29">
        <f t="shared" si="5"/>
        <v>1185</v>
      </c>
      <c r="H120" s="131"/>
      <c r="I120" s="144">
        <f>IF($P$1&lt;250,999,IF(($P$1-D120)&gt;=5,1.2,VLOOKUP(($P$1-D120),LEV_Force!$F$6:$H$86,2,FALSE)))</f>
        <v>999</v>
      </c>
      <c r="J120" s="144">
        <f t="shared" si="6"/>
        <v>1.5</v>
      </c>
      <c r="K120" s="18" t="str">
        <f t="shared" si="7"/>
        <v>레벨 부족</v>
      </c>
      <c r="L120" s="145">
        <f>IF($P$1-D120&gt;40,0.7,VLOOKUP(($P$1-D120),LEV_Force!$F$6:$H$86,3,FALSE))</f>
        <v>1.05</v>
      </c>
      <c r="M120" s="19" t="str">
        <f t="shared" si="8"/>
        <v>레벨 부족</v>
      </c>
    </row>
    <row r="121" spans="1:13">
      <c r="A121" s="121" t="s">
        <v>523</v>
      </c>
      <c r="B121" s="8">
        <v>18688692000</v>
      </c>
      <c r="C121" s="8">
        <v>10064093</v>
      </c>
      <c r="D121" s="122">
        <v>259</v>
      </c>
      <c r="E121" s="23">
        <f t="shared" si="11"/>
        <v>0.24353846712206384</v>
      </c>
      <c r="F121" s="9">
        <v>790</v>
      </c>
      <c r="G121" s="29">
        <f t="shared" si="5"/>
        <v>1185</v>
      </c>
      <c r="H121" s="131"/>
      <c r="I121" s="144">
        <f>IF($P$1&lt;250,999,IF(($P$1-D121)&gt;=5,1.2,VLOOKUP(($P$1-D121),LEV_Force!$F$6:$H$86,2,FALSE)))</f>
        <v>999</v>
      </c>
      <c r="J121" s="144">
        <f t="shared" si="6"/>
        <v>1.5</v>
      </c>
      <c r="K121" s="18" t="str">
        <f t="shared" si="7"/>
        <v>레벨 부족</v>
      </c>
      <c r="L121" s="145">
        <f>IF($P$1-D121&gt;40,0.7,VLOOKUP(($P$1-D121),LEV_Force!$F$6:$H$86,3,FALSE))</f>
        <v>1</v>
      </c>
      <c r="M121" s="19" t="str">
        <f t="shared" si="8"/>
        <v>레벨 부족</v>
      </c>
    </row>
    <row r="122" spans="1:13">
      <c r="A122" s="121" t="s">
        <v>524</v>
      </c>
      <c r="B122" s="8">
        <v>622956400</v>
      </c>
      <c r="C122" s="8">
        <v>670940</v>
      </c>
      <c r="D122" s="122">
        <v>259</v>
      </c>
      <c r="E122" s="23">
        <f t="shared" si="11"/>
        <v>0.48707727302662296</v>
      </c>
      <c r="F122" s="9">
        <v>820</v>
      </c>
      <c r="G122" s="29">
        <f t="shared" si="5"/>
        <v>1230</v>
      </c>
      <c r="H122" s="131"/>
      <c r="I122" s="144">
        <f>IF($P$1&lt;250,999,IF(($P$1-D122)&gt;=5,1.2,VLOOKUP(($P$1-D122),LEV_Force!$F$6:$H$86,2,FALSE)))</f>
        <v>999</v>
      </c>
      <c r="J122" s="144">
        <f t="shared" si="6"/>
        <v>1.5</v>
      </c>
      <c r="K122" s="18" t="str">
        <f t="shared" si="7"/>
        <v>레벨 부족</v>
      </c>
      <c r="L122" s="145">
        <f>IF($P$1-D122&gt;40,0.7,VLOOKUP(($P$1-D122),LEV_Force!$F$6:$H$86,3,FALSE))</f>
        <v>1</v>
      </c>
      <c r="M122" s="19" t="str">
        <f t="shared" si="8"/>
        <v>레벨 부족</v>
      </c>
    </row>
    <row r="123" spans="1:13">
      <c r="A123" s="121" t="s">
        <v>525</v>
      </c>
      <c r="B123" s="8">
        <v>622956400</v>
      </c>
      <c r="C123" s="8">
        <v>670940</v>
      </c>
      <c r="D123" s="122">
        <v>259</v>
      </c>
      <c r="E123" s="23">
        <f t="shared" si="11"/>
        <v>0.48707727302662296</v>
      </c>
      <c r="F123" s="9">
        <v>820</v>
      </c>
      <c r="G123" s="29">
        <f t="shared" si="5"/>
        <v>1230</v>
      </c>
      <c r="H123" s="131"/>
      <c r="I123" s="144">
        <f>IF($P$1&lt;250,999,IF(($P$1-D123)&gt;=5,1.2,VLOOKUP(($P$1-D123),LEV_Force!$F$6:$H$86,2,FALSE)))</f>
        <v>999</v>
      </c>
      <c r="J123" s="144">
        <f t="shared" si="6"/>
        <v>1.5</v>
      </c>
      <c r="K123" s="18" t="str">
        <f t="shared" si="7"/>
        <v>레벨 부족</v>
      </c>
      <c r="L123" s="145">
        <f>IF($P$1-D123&gt;40,0.7,VLOOKUP(($P$1-D123),LEV_Force!$F$6:$H$86,3,FALSE))</f>
        <v>1</v>
      </c>
      <c r="M123" s="19" t="str">
        <f t="shared" si="8"/>
        <v>레벨 부족</v>
      </c>
    </row>
    <row r="124" spans="1:13">
      <c r="A124" s="121" t="s">
        <v>526</v>
      </c>
      <c r="B124" s="8">
        <v>622956400</v>
      </c>
      <c r="C124" s="8">
        <v>670940</v>
      </c>
      <c r="D124" s="122">
        <v>259</v>
      </c>
      <c r="E124" s="23">
        <f t="shared" si="11"/>
        <v>0.48707727302662296</v>
      </c>
      <c r="F124" s="9">
        <v>820</v>
      </c>
      <c r="G124" s="29">
        <f t="shared" si="5"/>
        <v>1230</v>
      </c>
      <c r="H124" s="131"/>
      <c r="I124" s="144">
        <f>IF($P$1&lt;250,999,IF(($P$1-D124)&gt;=5,1.2,VLOOKUP(($P$1-D124),LEV_Force!$F$6:$H$86,2,FALSE)))</f>
        <v>999</v>
      </c>
      <c r="J124" s="144">
        <f t="shared" si="6"/>
        <v>1.5</v>
      </c>
      <c r="K124" s="18" t="str">
        <f t="shared" si="7"/>
        <v>레벨 부족</v>
      </c>
      <c r="L124" s="145">
        <f>IF($P$1-D124&gt;40,0.7,VLOOKUP(($P$1-D124),LEV_Force!$F$6:$H$86,3,FALSE))</f>
        <v>1</v>
      </c>
      <c r="M124" s="19" t="str">
        <f t="shared" si="8"/>
        <v>레벨 부족</v>
      </c>
    </row>
    <row r="125" spans="1:13" ht="18" thickBot="1">
      <c r="A125" s="123" t="s">
        <v>527</v>
      </c>
      <c r="B125" s="11">
        <v>622956400</v>
      </c>
      <c r="C125" s="11">
        <v>670940</v>
      </c>
      <c r="D125" s="124">
        <v>259</v>
      </c>
      <c r="E125" s="24">
        <f t="shared" si="11"/>
        <v>0.48707727302662296</v>
      </c>
      <c r="F125" s="12">
        <v>820</v>
      </c>
      <c r="G125" s="30">
        <f t="shared" si="5"/>
        <v>1230</v>
      </c>
      <c r="H125" s="132"/>
      <c r="I125" s="144">
        <f>IF($P$1&lt;250,999,IF(($P$1-D125)&gt;=5,1.2,VLOOKUP(($P$1-D125),LEV_Force!$F$6:$H$86,2,FALSE)))</f>
        <v>999</v>
      </c>
      <c r="J125" s="144">
        <f t="shared" si="6"/>
        <v>1.5</v>
      </c>
      <c r="K125" s="20" t="str">
        <f t="shared" si="7"/>
        <v>레벨 부족</v>
      </c>
      <c r="L125" s="146">
        <f>IF($P$1-D125&gt;40,0.7,VLOOKUP(($P$1-D125),LEV_Force!$F$6:$H$86,3,FALSE))</f>
        <v>1</v>
      </c>
      <c r="M125" s="21" t="str">
        <f t="shared" si="8"/>
        <v>레벨 부족</v>
      </c>
    </row>
    <row r="126" spans="1:13">
      <c r="A126" s="126" t="s">
        <v>528</v>
      </c>
      <c r="B126" s="5">
        <v>633547200</v>
      </c>
      <c r="C126" s="5">
        <v>680638</v>
      </c>
      <c r="D126" s="6">
        <v>260</v>
      </c>
      <c r="E126" s="25">
        <f t="shared" si="11"/>
        <v>0.48585765502500911</v>
      </c>
      <c r="F126" s="136">
        <v>850</v>
      </c>
      <c r="G126" s="137">
        <f t="shared" si="5"/>
        <v>1275</v>
      </c>
      <c r="H126" s="130" t="s">
        <v>470</v>
      </c>
      <c r="I126" s="144">
        <f>IF($P$1&lt;255,999,IF(($P$1-D126)&gt;=5,1.2,VLOOKUP(($P$1-D126),LEV_Force!$F$6:$H$86,2,FALSE)))</f>
        <v>999</v>
      </c>
      <c r="J126" s="144">
        <f t="shared" si="6"/>
        <v>1.5</v>
      </c>
      <c r="K126" s="16" t="str">
        <f t="shared" si="7"/>
        <v>레벨 부족</v>
      </c>
      <c r="L126" s="150">
        <f>IF($P$1-D126&gt;40,0.7,VLOOKUP(($P$1-D126),LEV_Force!$F$6:$H$86,3,FALSE))</f>
        <v>0.99</v>
      </c>
      <c r="M126" s="17" t="str">
        <f t="shared" si="8"/>
        <v>레벨 부족</v>
      </c>
    </row>
    <row r="127" spans="1:13">
      <c r="A127" s="121" t="s">
        <v>529</v>
      </c>
      <c r="B127" s="8">
        <v>633547200</v>
      </c>
      <c r="C127" s="8">
        <v>680638</v>
      </c>
      <c r="D127" s="122">
        <v>260</v>
      </c>
      <c r="E127" s="23">
        <f t="shared" si="11"/>
        <v>0.48585765502500911</v>
      </c>
      <c r="F127" s="127">
        <v>850</v>
      </c>
      <c r="G127" s="140">
        <f t="shared" si="5"/>
        <v>1275</v>
      </c>
      <c r="H127" s="131" t="s">
        <v>470</v>
      </c>
      <c r="I127" s="144">
        <f>IF($P$1&lt;255,999,IF(($P$1-D127)&gt;=5,1.2,VLOOKUP(($P$1-D127),LEV_Force!$F$6:$H$86,2,FALSE)))</f>
        <v>999</v>
      </c>
      <c r="J127" s="144">
        <f t="shared" si="6"/>
        <v>1.5</v>
      </c>
      <c r="K127" s="18" t="str">
        <f t="shared" si="7"/>
        <v>레벨 부족</v>
      </c>
      <c r="L127" s="145">
        <f>IF($P$1-D127&gt;40,0.7,VLOOKUP(($P$1-D127),LEV_Force!$F$6:$H$86,3,FALSE))</f>
        <v>0.99</v>
      </c>
      <c r="M127" s="19" t="str">
        <f t="shared" si="8"/>
        <v>레벨 부족</v>
      </c>
    </row>
    <row r="128" spans="1:13">
      <c r="A128" s="121" t="s">
        <v>530</v>
      </c>
      <c r="B128" s="8">
        <v>633547200</v>
      </c>
      <c r="C128" s="8">
        <v>680638</v>
      </c>
      <c r="D128" s="122">
        <v>260</v>
      </c>
      <c r="E128" s="23">
        <f t="shared" si="11"/>
        <v>0.48585765502500911</v>
      </c>
      <c r="F128" s="122">
        <v>850</v>
      </c>
      <c r="G128" s="29">
        <f t="shared" si="5"/>
        <v>1275</v>
      </c>
      <c r="H128" s="131"/>
      <c r="I128" s="144">
        <f>IF($P$1&lt;255,999,IF(($P$1-D128)&gt;=5,1.2,VLOOKUP(($P$1-D128),LEV_Force!$F$6:$H$86,2,FALSE)))</f>
        <v>999</v>
      </c>
      <c r="J128" s="144">
        <f t="shared" si="6"/>
        <v>1.5</v>
      </c>
      <c r="K128" s="18" t="str">
        <f t="shared" si="7"/>
        <v>레벨 부족</v>
      </c>
      <c r="L128" s="145">
        <f>IF($P$1-D128&gt;40,0.7,VLOOKUP(($P$1-D128),LEV_Force!$F$6:$H$86,3,FALSE))</f>
        <v>0.99</v>
      </c>
      <c r="M128" s="19" t="str">
        <f t="shared" si="8"/>
        <v>레벨 부족</v>
      </c>
    </row>
    <row r="129" spans="1:13">
      <c r="A129" s="121" t="s">
        <v>537</v>
      </c>
      <c r="B129" s="8">
        <v>644226000</v>
      </c>
      <c r="C129" s="8">
        <v>690432</v>
      </c>
      <c r="D129" s="9">
        <v>261</v>
      </c>
      <c r="E129" s="23">
        <f t="shared" si="11"/>
        <v>0.48467932787383738</v>
      </c>
      <c r="F129" s="122">
        <v>850</v>
      </c>
      <c r="G129" s="29">
        <f t="shared" si="5"/>
        <v>1275</v>
      </c>
      <c r="H129" s="131"/>
      <c r="I129" s="144">
        <f>IF($P$1&lt;255,999,IF(($P$1-D129)&gt;=5,1.2,VLOOKUP(($P$1-D129),LEV_Force!$F$6:$H$86,2,FALSE)))</f>
        <v>999</v>
      </c>
      <c r="J129" s="144">
        <f t="shared" si="6"/>
        <v>1.5</v>
      </c>
      <c r="K129" s="18" t="str">
        <f t="shared" si="7"/>
        <v>레벨 부족</v>
      </c>
      <c r="L129" s="145">
        <f>IF($P$1-D129&gt;40,0.7,VLOOKUP(($P$1-D129),LEV_Force!$F$6:$H$86,3,FALSE))</f>
        <v>0.98</v>
      </c>
      <c r="M129" s="19" t="str">
        <f t="shared" si="8"/>
        <v>레벨 부족</v>
      </c>
    </row>
    <row r="130" spans="1:13">
      <c r="A130" s="121" t="s">
        <v>531</v>
      </c>
      <c r="B130" s="8">
        <v>655470200</v>
      </c>
      <c r="C130" s="8">
        <v>700242</v>
      </c>
      <c r="D130" s="9">
        <v>262</v>
      </c>
      <c r="E130" s="23">
        <f t="shared" si="11"/>
        <v>0.483133372509856</v>
      </c>
      <c r="F130" s="127">
        <v>850</v>
      </c>
      <c r="G130" s="140">
        <f t="shared" si="5"/>
        <v>1275</v>
      </c>
      <c r="H130" s="131"/>
      <c r="I130" s="144">
        <f>IF($P$1&lt;255,999,IF(($P$1-D130)&gt;=5,1.2,VLOOKUP(($P$1-D130),LEV_Force!$F$6:$H$86,2,FALSE)))</f>
        <v>999</v>
      </c>
      <c r="J130" s="144">
        <f t="shared" si="6"/>
        <v>1.5</v>
      </c>
      <c r="K130" s="18" t="str">
        <f t="shared" si="7"/>
        <v>레벨 부족</v>
      </c>
      <c r="L130" s="145">
        <f>IF($P$1-D130&gt;40,0.7,VLOOKUP(($P$1-D130),LEV_Force!$F$6:$H$86,3,FALSE))</f>
        <v>0.97</v>
      </c>
      <c r="M130" s="19" t="str">
        <f t="shared" si="8"/>
        <v>레벨 부족</v>
      </c>
    </row>
    <row r="131" spans="1:13">
      <c r="A131" s="121" t="s">
        <v>532</v>
      </c>
      <c r="B131" s="8">
        <v>666329400</v>
      </c>
      <c r="C131" s="8">
        <v>710121</v>
      </c>
      <c r="D131" s="9">
        <v>263</v>
      </c>
      <c r="E131" s="23">
        <f t="shared" si="11"/>
        <v>0.48196468097931744</v>
      </c>
      <c r="F131" s="122">
        <v>880</v>
      </c>
      <c r="G131" s="29">
        <f t="shared" si="5"/>
        <v>1320</v>
      </c>
      <c r="H131" s="131"/>
      <c r="I131" s="144">
        <f>IF($P$1&lt;255,999,IF(($P$1-D131)&gt;=5,1.2,VLOOKUP(($P$1-D131),LEV_Force!$F$6:$H$86,2,FALSE)))</f>
        <v>999</v>
      </c>
      <c r="J131" s="144">
        <f t="shared" si="6"/>
        <v>1.5</v>
      </c>
      <c r="K131" s="18" t="str">
        <f t="shared" si="7"/>
        <v>레벨 부족</v>
      </c>
      <c r="L131" s="145">
        <f>IF($P$1-D131&gt;40,0.7,VLOOKUP(($P$1-D131),LEV_Force!$F$6:$H$86,3,FALSE))</f>
        <v>0.96</v>
      </c>
      <c r="M131" s="19" t="str">
        <f t="shared" si="8"/>
        <v>레벨 부족</v>
      </c>
    </row>
    <row r="132" spans="1:13" ht="18" thickBot="1">
      <c r="A132" s="123" t="s">
        <v>533</v>
      </c>
      <c r="B132" s="11">
        <v>677762800</v>
      </c>
      <c r="C132" s="11">
        <v>721247</v>
      </c>
      <c r="D132" s="12">
        <v>264</v>
      </c>
      <c r="E132" s="24">
        <f t="shared" si="11"/>
        <v>0.48125818071712978</v>
      </c>
      <c r="F132" s="124">
        <v>880</v>
      </c>
      <c r="G132" s="30">
        <f t="shared" si="5"/>
        <v>1320</v>
      </c>
      <c r="H132" s="132"/>
      <c r="I132" s="144">
        <f>IF($P$1&lt;255,999,IF(($P$1-D132)&gt;=5,1.2,VLOOKUP(($P$1-D132),LEV_Force!$F$6:$H$86,2,FALSE)))</f>
        <v>999</v>
      </c>
      <c r="J132" s="144">
        <f t="shared" si="6"/>
        <v>1.5</v>
      </c>
      <c r="K132" s="20" t="str">
        <f t="shared" si="7"/>
        <v>레벨 부족</v>
      </c>
      <c r="L132" s="146">
        <f>IF($P$1-D132&gt;40,0.7,VLOOKUP(($P$1-D132),LEV_Force!$F$6:$H$86,3,FALSE))</f>
        <v>0.95</v>
      </c>
      <c r="M132" s="21" t="str">
        <f t="shared" si="8"/>
        <v>레벨 부족</v>
      </c>
    </row>
  </sheetData>
  <sheetProtection algorithmName="SHA-512" hashValue="o0/gOVzKMcZv+U3+uUzXzKxMFuniOFV3HEqntiFE8b7izPQV9E5KneY21E+w9mXPGMfIWgMy3uSwqscOcnlopw==" saltValue="UL3J353HdeU8wwFUw0rKgg==" spinCount="100000" sheet="1" selectLockedCells="1"/>
  <mergeCells count="2">
    <mergeCell ref="O4:S5"/>
    <mergeCell ref="O6:S7"/>
  </mergeCells>
  <phoneticPr fontId="4" type="noConversion"/>
  <pageMargins left="0.7" right="0.7" top="0.75" bottom="0.75" header="0.3" footer="0.3"/>
  <pageSetup paperSize="9" orientation="portrait" horizontalDpi="4294967292" r:id="rId1"/>
  <ignoredErrors>
    <ignoredError sqref="P1:P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4"/>
  <sheetViews>
    <sheetView workbookViewId="0">
      <selection activeCell="B15" sqref="B15"/>
    </sheetView>
  </sheetViews>
  <sheetFormatPr defaultRowHeight="17.399999999999999"/>
  <cols>
    <col min="1" max="1" width="13.5" bestFit="1" customWidth="1"/>
    <col min="15" max="15" width="23.09765625" customWidth="1"/>
    <col min="16" max="16" width="17.69921875" bestFit="1" customWidth="1"/>
  </cols>
  <sheetData>
    <row r="1" spans="1:3">
      <c r="A1" t="s">
        <v>118</v>
      </c>
      <c r="B1" t="s">
        <v>119</v>
      </c>
      <c r="C1" t="s">
        <v>120</v>
      </c>
    </row>
    <row r="2" spans="1:3">
      <c r="A2" t="s">
        <v>121</v>
      </c>
      <c r="B2" s="86">
        <f>IF(DPM!$L$15="ON", 31%, 30%)</f>
        <v>0.31</v>
      </c>
      <c r="C2" s="2">
        <f>B2</f>
        <v>0.31</v>
      </c>
    </row>
    <row r="3" spans="1:3">
      <c r="A3" t="s">
        <v>122</v>
      </c>
      <c r="B3" s="86">
        <f>HS!D20</f>
        <v>0.3</v>
      </c>
      <c r="C3" s="2">
        <f>1-(1-C2)*(1-B3)</f>
        <v>0.51700000000000013</v>
      </c>
    </row>
    <row r="4" spans="1:3">
      <c r="A4" t="s">
        <v>123</v>
      </c>
      <c r="B4" s="86">
        <v>0.15</v>
      </c>
      <c r="C4" s="2">
        <f t="shared" ref="C4:C23" si="0">1-(1-C3)*(1-B4)</f>
        <v>0.58945000000000014</v>
      </c>
    </row>
    <row r="5" spans="1:3">
      <c r="A5" t="s">
        <v>124</v>
      </c>
      <c r="B5" s="86">
        <v>0.1</v>
      </c>
      <c r="C5" s="2">
        <f t="shared" si="0"/>
        <v>0.63050500000000009</v>
      </c>
    </row>
    <row r="6" spans="1:3">
      <c r="A6" t="s">
        <v>125</v>
      </c>
      <c r="B6" s="86">
        <v>0.05</v>
      </c>
      <c r="C6" s="2">
        <f t="shared" si="0"/>
        <v>0.64897975000000008</v>
      </c>
    </row>
    <row r="7" spans="1:3">
      <c r="A7" t="s">
        <v>126</v>
      </c>
      <c r="B7" s="86">
        <v>0.05</v>
      </c>
      <c r="C7" s="2">
        <f t="shared" si="0"/>
        <v>0.6665307625000001</v>
      </c>
    </row>
    <row r="8" spans="1:3">
      <c r="A8" t="s">
        <v>127</v>
      </c>
      <c r="B8" s="86"/>
      <c r="C8" s="2">
        <f t="shared" si="0"/>
        <v>0.6665307625000001</v>
      </c>
    </row>
    <row r="9" spans="1:3">
      <c r="A9" t="s">
        <v>128</v>
      </c>
      <c r="B9" s="86">
        <v>0.16</v>
      </c>
      <c r="C9" s="2">
        <f t="shared" si="0"/>
        <v>0.71988584050000015</v>
      </c>
    </row>
    <row r="10" spans="1:3">
      <c r="A10" t="s">
        <v>129</v>
      </c>
      <c r="B10" s="86">
        <v>0.03</v>
      </c>
      <c r="C10" s="2">
        <f t="shared" si="0"/>
        <v>0.72828926528500015</v>
      </c>
    </row>
    <row r="11" spans="1:3">
      <c r="A11" t="s">
        <v>130</v>
      </c>
      <c r="B11" s="86">
        <v>0.1</v>
      </c>
      <c r="C11" s="2">
        <f t="shared" si="0"/>
        <v>0.75546033875650009</v>
      </c>
    </row>
    <row r="12" spans="1:3">
      <c r="A12" t="s">
        <v>131</v>
      </c>
      <c r="B12" s="86">
        <v>0.2</v>
      </c>
      <c r="C12" s="2">
        <f t="shared" si="0"/>
        <v>0.80436827100520003</v>
      </c>
    </row>
    <row r="13" spans="1:3">
      <c r="A13" t="s">
        <v>132</v>
      </c>
      <c r="B13" s="86"/>
      <c r="C13" s="2">
        <f t="shared" si="0"/>
        <v>0.80436827100520003</v>
      </c>
    </row>
    <row r="14" spans="1:3">
      <c r="A14" t="s">
        <v>133</v>
      </c>
      <c r="B14" s="86">
        <v>0.1</v>
      </c>
      <c r="C14" s="2">
        <f t="shared" si="0"/>
        <v>0.82393144390467998</v>
      </c>
    </row>
    <row r="15" spans="1:3">
      <c r="A15" t="s">
        <v>134</v>
      </c>
      <c r="B15" s="86">
        <v>0.1</v>
      </c>
      <c r="C15" s="2">
        <f t="shared" si="0"/>
        <v>0.841538299514212</v>
      </c>
    </row>
    <row r="16" spans="1:3">
      <c r="A16" s="50" t="s">
        <v>135</v>
      </c>
      <c r="B16" s="86">
        <v>0.4</v>
      </c>
      <c r="C16" s="2">
        <f t="shared" si="0"/>
        <v>0.9049229797085272</v>
      </c>
    </row>
    <row r="17" spans="1:3">
      <c r="A17" t="s">
        <v>430</v>
      </c>
      <c r="B17" s="86">
        <v>0.3</v>
      </c>
      <c r="C17" s="2">
        <f t="shared" si="0"/>
        <v>0.93344608579596899</v>
      </c>
    </row>
    <row r="18" spans="1:3">
      <c r="A18" t="s">
        <v>431</v>
      </c>
      <c r="B18" s="86">
        <v>0.1</v>
      </c>
      <c r="C18" s="2">
        <f t="shared" si="0"/>
        <v>0.94010147721637205</v>
      </c>
    </row>
    <row r="19" spans="1:3">
      <c r="A19" t="s">
        <v>577</v>
      </c>
      <c r="B19" s="86">
        <v>0.09</v>
      </c>
      <c r="C19" s="2">
        <f t="shared" si="0"/>
        <v>0.94549234426689854</v>
      </c>
    </row>
    <row r="20" spans="1:3">
      <c r="A20" t="s">
        <v>632</v>
      </c>
      <c r="B20" s="86">
        <v>0.15</v>
      </c>
      <c r="C20" s="2">
        <f t="shared" si="0"/>
        <v>0.95366849262686371</v>
      </c>
    </row>
    <row r="21" spans="1:3">
      <c r="B21" s="86"/>
      <c r="C21" s="2">
        <f t="shared" si="0"/>
        <v>0.95366849262686371</v>
      </c>
    </row>
    <row r="22" spans="1:3">
      <c r="B22" s="86"/>
      <c r="C22" s="2">
        <f t="shared" si="0"/>
        <v>0.95366849262686371</v>
      </c>
    </row>
    <row r="23" spans="1:3">
      <c r="B23" s="86"/>
      <c r="C23" s="2">
        <f t="shared" si="0"/>
        <v>0.95366849262686371</v>
      </c>
    </row>
    <row r="24" spans="1:3">
      <c r="A24" t="s">
        <v>136</v>
      </c>
      <c r="B24" s="201">
        <f>C23</f>
        <v>0.95366849262686371</v>
      </c>
      <c r="C24" s="201"/>
    </row>
  </sheetData>
  <sheetProtection algorithmName="SHA-512" hashValue="dytiOzgcv/zYfkq6yvYw1+3TQCwg20zV/CooXoIyKFKpA3yVxnvA/KZUX3M91GTF0aGRPiO+YuExnuCvD3COLg==" saltValue="T10+bE/gcKFQmMSCp8XXLA==" spinCount="100000" sheet="1" selectLockedCells="1"/>
  <mergeCells count="1">
    <mergeCell ref="B24:C24"/>
  </mergeCells>
  <phoneticPr fontId="4" type="noConversion"/>
  <pageMargins left="0.7" right="0.7" top="0.75" bottom="0.75" header="0.3" footer="0.3"/>
  <pageSetup paperSize="9" orientation="portrait" horizontalDpi="4294967292" r:id="rId1"/>
  <ignoredErrors>
    <ignoredError sqref="B2:B7 B22:B23 B15 B10:B12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73AD1-0B7D-4883-B366-EF1CBAB1431F}">
  <dimension ref="A1:AE231"/>
  <sheetViews>
    <sheetView zoomScale="85" zoomScaleNormal="85" workbookViewId="0">
      <pane xSplit="2" topLeftCell="C1" activePane="topRight" state="frozen"/>
      <selection activeCell="A19" sqref="A19"/>
      <selection pane="topRight" activeCell="C25" sqref="C25"/>
    </sheetView>
  </sheetViews>
  <sheetFormatPr defaultRowHeight="17.399999999999999"/>
  <cols>
    <col min="1" max="1" width="11.3984375" bestFit="1" customWidth="1"/>
    <col min="2" max="2" width="27.69921875" bestFit="1" customWidth="1"/>
    <col min="3" max="3" width="21.296875" bestFit="1" customWidth="1"/>
    <col min="4" max="4" width="15.69921875" bestFit="1" customWidth="1"/>
    <col min="5" max="5" width="10.3984375" bestFit="1" customWidth="1"/>
    <col min="6" max="6" width="18.296875" bestFit="1" customWidth="1"/>
    <col min="7" max="7" width="21.5" bestFit="1" customWidth="1"/>
    <col min="8" max="8" width="12.59765625" bestFit="1" customWidth="1"/>
    <col min="9" max="9" width="17.69921875" bestFit="1" customWidth="1"/>
    <col min="10" max="10" width="19.796875" bestFit="1" customWidth="1"/>
    <col min="11" max="12" width="15.69921875" bestFit="1" customWidth="1"/>
    <col min="13" max="13" width="15.09765625" bestFit="1" customWidth="1"/>
    <col min="14" max="14" width="16.09765625" bestFit="1" customWidth="1"/>
    <col min="15" max="15" width="13.69921875" bestFit="1" customWidth="1"/>
    <col min="18" max="18" width="8.796875" style="177"/>
    <col min="27" max="27" width="17.69921875" bestFit="1" customWidth="1"/>
    <col min="31" max="31" width="9.296875" bestFit="1" customWidth="1"/>
  </cols>
  <sheetData>
    <row r="1" spans="1:13">
      <c r="C1" s="70" t="s">
        <v>165</v>
      </c>
      <c r="D1" s="196" t="s">
        <v>166</v>
      </c>
      <c r="E1" s="196"/>
      <c r="F1" s="196" t="s">
        <v>167</v>
      </c>
      <c r="G1" s="196"/>
    </row>
    <row r="2" spans="1:13">
      <c r="A2" t="s">
        <v>168</v>
      </c>
      <c r="B2" t="s">
        <v>169</v>
      </c>
      <c r="C2" s="53">
        <f>D124</f>
        <v>1163639358864.886</v>
      </c>
      <c r="D2" s="208">
        <f>D173</f>
        <v>1201498298415.6045</v>
      </c>
      <c r="E2" s="209"/>
      <c r="F2" s="208">
        <f>D221</f>
        <v>1193864535332.2515</v>
      </c>
      <c r="G2" s="209"/>
    </row>
    <row r="3" spans="1:13">
      <c r="A3" t="s">
        <v>170</v>
      </c>
      <c r="B3" t="s">
        <v>171</v>
      </c>
      <c r="C3" s="3">
        <f>C2/60</f>
        <v>19393989314.414768</v>
      </c>
      <c r="D3" s="203">
        <f t="shared" ref="D3:F3" si="0">D2/60</f>
        <v>20024971640.260075</v>
      </c>
      <c r="E3" s="203"/>
      <c r="F3" s="203">
        <f t="shared" si="0"/>
        <v>19897742255.537525</v>
      </c>
      <c r="G3" s="203"/>
    </row>
    <row r="4" spans="1:13">
      <c r="B4" t="s">
        <v>432</v>
      </c>
      <c r="C4" s="33">
        <f>C2/$C$2</f>
        <v>1</v>
      </c>
      <c r="D4" s="202">
        <f>D2/$C$2</f>
        <v>1.0325349424306594</v>
      </c>
      <c r="E4" s="202"/>
      <c r="F4" s="202">
        <f>F2/$C$2</f>
        <v>1.0259746941671428</v>
      </c>
      <c r="G4" s="202"/>
    </row>
    <row r="5" spans="1:13">
      <c r="C5" s="26"/>
      <c r="E5" s="26"/>
      <c r="F5" s="1"/>
    </row>
    <row r="6" spans="1:13">
      <c r="C6" t="s">
        <v>172</v>
      </c>
      <c r="D6" t="s">
        <v>173</v>
      </c>
      <c r="E6" t="s">
        <v>174</v>
      </c>
      <c r="F6" t="s">
        <v>175</v>
      </c>
      <c r="G6" t="s">
        <v>176</v>
      </c>
      <c r="H6" t="s">
        <v>177</v>
      </c>
      <c r="I6" t="s">
        <v>178</v>
      </c>
      <c r="J6" t="s">
        <v>179</v>
      </c>
      <c r="K6" t="s">
        <v>180</v>
      </c>
      <c r="L6" t="s">
        <v>181</v>
      </c>
      <c r="M6" t="s">
        <v>182</v>
      </c>
    </row>
    <row r="7" spans="1:13">
      <c r="A7" t="s">
        <v>183</v>
      </c>
      <c r="B7" t="s">
        <v>184</v>
      </c>
      <c r="C7">
        <v>1110</v>
      </c>
      <c r="D7" s="35">
        <f>J7</f>
        <v>114</v>
      </c>
      <c r="E7" s="45">
        <f>C34+35</f>
        <v>65</v>
      </c>
      <c r="F7" s="1"/>
      <c r="G7" s="36">
        <f>E7*(1+F7)</f>
        <v>65</v>
      </c>
      <c r="H7">
        <v>120</v>
      </c>
      <c r="I7" s="94">
        <v>0.05</v>
      </c>
      <c r="J7" s="35">
        <f>H7*(1-I7)</f>
        <v>114</v>
      </c>
      <c r="K7" s="33">
        <f>IF(L7="OFF",0,IF(G7/D7&gt;1,1,G7/D7))</f>
        <v>0.57017543859649122</v>
      </c>
      <c r="L7" s="97" t="s">
        <v>185</v>
      </c>
      <c r="M7" s="36">
        <f t="shared" ref="M7:M18" si="1">IF(L7="OFF",0,C7/(D7/60)/1000)</f>
        <v>0.58421052631578951</v>
      </c>
    </row>
    <row r="8" spans="1:13">
      <c r="B8" t="s">
        <v>186</v>
      </c>
      <c r="C8">
        <v>1020</v>
      </c>
      <c r="D8" s="95">
        <v>50</v>
      </c>
      <c r="E8" s="45">
        <v>60</v>
      </c>
      <c r="G8" s="36">
        <v>60</v>
      </c>
      <c r="H8" s="27">
        <v>120</v>
      </c>
      <c r="I8" s="1"/>
      <c r="J8" s="35">
        <f t="shared" ref="J8:J18" si="2">H8*(1-I8)</f>
        <v>120</v>
      </c>
      <c r="K8" s="33">
        <f t="shared" ref="K8:K18" si="3">IF(L8="OFF",0,IF(G8/D8&gt;1,1,G8/D8))</f>
        <v>1</v>
      </c>
      <c r="L8" s="97" t="s">
        <v>185</v>
      </c>
      <c r="M8" s="36">
        <f t="shared" si="1"/>
        <v>1.224</v>
      </c>
    </row>
    <row r="9" spans="1:13">
      <c r="B9" t="s">
        <v>188</v>
      </c>
      <c r="C9">
        <v>990</v>
      </c>
      <c r="D9" s="35">
        <f t="shared" ref="D9:D19" si="4">J9</f>
        <v>189.04999999999998</v>
      </c>
      <c r="E9" s="45">
        <v>60</v>
      </c>
      <c r="F9" s="94">
        <f>34%+20%+10%</f>
        <v>0.64</v>
      </c>
      <c r="G9" s="36">
        <f t="shared" ref="G9:G18" si="5">E9*(1+F9)</f>
        <v>98.4</v>
      </c>
      <c r="H9">
        <v>199</v>
      </c>
      <c r="I9" s="1">
        <f>I7</f>
        <v>0.05</v>
      </c>
      <c r="J9" s="35">
        <f t="shared" si="2"/>
        <v>189.04999999999998</v>
      </c>
      <c r="K9" s="33">
        <f t="shared" si="3"/>
        <v>0.52049722295688983</v>
      </c>
      <c r="L9" s="97" t="s">
        <v>187</v>
      </c>
      <c r="M9" s="36">
        <f t="shared" si="1"/>
        <v>0.31420259190690297</v>
      </c>
    </row>
    <row r="10" spans="1:13">
      <c r="B10" t="s">
        <v>189</v>
      </c>
      <c r="C10">
        <v>0</v>
      </c>
      <c r="D10" s="35">
        <f>J10</f>
        <v>120</v>
      </c>
      <c r="E10" s="45">
        <v>60</v>
      </c>
      <c r="G10" s="36">
        <f t="shared" si="5"/>
        <v>60</v>
      </c>
      <c r="H10">
        <v>120</v>
      </c>
      <c r="I10" s="1"/>
      <c r="J10" s="35">
        <f t="shared" si="2"/>
        <v>120</v>
      </c>
      <c r="K10" s="33">
        <f t="shared" si="3"/>
        <v>0.5</v>
      </c>
      <c r="L10" s="97" t="s">
        <v>187</v>
      </c>
      <c r="M10" s="36">
        <f t="shared" si="1"/>
        <v>0</v>
      </c>
    </row>
    <row r="11" spans="1:13">
      <c r="B11" t="s">
        <v>190</v>
      </c>
      <c r="C11">
        <v>810</v>
      </c>
      <c r="D11" s="35">
        <f t="shared" si="4"/>
        <v>104.5</v>
      </c>
      <c r="E11" s="46">
        <f>DPM_DB!D2</f>
        <v>16</v>
      </c>
      <c r="G11" s="36">
        <f t="shared" si="5"/>
        <v>16</v>
      </c>
      <c r="H11" s="32">
        <f>(120-INT(20*0.5))</f>
        <v>110</v>
      </c>
      <c r="I11" s="1">
        <f>I9</f>
        <v>0.05</v>
      </c>
      <c r="J11" s="35">
        <f t="shared" si="2"/>
        <v>104.5</v>
      </c>
      <c r="K11" s="33">
        <f t="shared" si="3"/>
        <v>0.15311004784688995</v>
      </c>
      <c r="L11" s="97" t="s">
        <v>185</v>
      </c>
      <c r="M11" s="36">
        <f t="shared" si="1"/>
        <v>0.46507177033492819</v>
      </c>
    </row>
    <row r="12" spans="1:13">
      <c r="B12" t="s">
        <v>191</v>
      </c>
      <c r="C12">
        <v>490</v>
      </c>
      <c r="D12" s="35">
        <f t="shared" si="4"/>
        <v>114</v>
      </c>
      <c r="E12" s="45">
        <v>40</v>
      </c>
      <c r="G12" s="36">
        <f t="shared" si="5"/>
        <v>40</v>
      </c>
      <c r="H12">
        <f>120</f>
        <v>120</v>
      </c>
      <c r="I12" s="1">
        <f t="shared" ref="I12:I19" si="6">I11</f>
        <v>0.05</v>
      </c>
      <c r="J12" s="35">
        <f t="shared" si="2"/>
        <v>114</v>
      </c>
      <c r="K12" s="33">
        <f t="shared" si="3"/>
        <v>0.35087719298245612</v>
      </c>
      <c r="L12" s="97" t="s">
        <v>185</v>
      </c>
      <c r="M12" s="36">
        <f t="shared" si="1"/>
        <v>0.25789473684210529</v>
      </c>
    </row>
    <row r="13" spans="1:13">
      <c r="B13" t="s">
        <v>192</v>
      </c>
      <c r="C13">
        <v>720</v>
      </c>
      <c r="D13" s="35">
        <f t="shared" si="4"/>
        <v>171</v>
      </c>
      <c r="E13" s="45">
        <f>DPM_DB!D20</f>
        <v>140</v>
      </c>
      <c r="G13" s="36">
        <f t="shared" si="5"/>
        <v>140</v>
      </c>
      <c r="H13">
        <f>180</f>
        <v>180</v>
      </c>
      <c r="I13" s="1">
        <f t="shared" si="6"/>
        <v>0.05</v>
      </c>
      <c r="J13" s="35">
        <f t="shared" si="2"/>
        <v>171</v>
      </c>
      <c r="K13" s="33">
        <f t="shared" si="3"/>
        <v>0.81871345029239762</v>
      </c>
      <c r="L13" s="97" t="s">
        <v>185</v>
      </c>
      <c r="M13" s="36">
        <f t="shared" si="1"/>
        <v>0.25263157894736843</v>
      </c>
    </row>
    <row r="14" spans="1:13">
      <c r="B14" t="s">
        <v>193</v>
      </c>
      <c r="C14">
        <v>1680</v>
      </c>
      <c r="D14" s="37">
        <v>240</v>
      </c>
      <c r="E14" s="45">
        <v>184</v>
      </c>
      <c r="F14" s="1">
        <f>F9</f>
        <v>0.64</v>
      </c>
      <c r="G14" s="36">
        <f t="shared" si="5"/>
        <v>301.76000000000005</v>
      </c>
      <c r="H14">
        <v>92</v>
      </c>
      <c r="I14" s="1">
        <f t="shared" si="6"/>
        <v>0.05</v>
      </c>
      <c r="J14" s="35">
        <f t="shared" si="2"/>
        <v>87.399999999999991</v>
      </c>
      <c r="K14" s="33">
        <f t="shared" si="3"/>
        <v>1</v>
      </c>
      <c r="L14" s="97" t="s">
        <v>187</v>
      </c>
      <c r="M14" s="36">
        <f t="shared" si="1"/>
        <v>0.42</v>
      </c>
    </row>
    <row r="15" spans="1:13">
      <c r="B15" t="s">
        <v>194</v>
      </c>
      <c r="C15">
        <v>1500</v>
      </c>
      <c r="D15" s="37">
        <v>180</v>
      </c>
      <c r="E15" s="45">
        <v>195</v>
      </c>
      <c r="G15" s="36">
        <f t="shared" si="5"/>
        <v>195</v>
      </c>
      <c r="H15">
        <v>180</v>
      </c>
      <c r="I15" s="1">
        <f t="shared" si="6"/>
        <v>0.05</v>
      </c>
      <c r="J15" s="35">
        <f t="shared" si="2"/>
        <v>171</v>
      </c>
      <c r="K15" s="33">
        <f t="shared" si="3"/>
        <v>1</v>
      </c>
      <c r="L15" s="97" t="s">
        <v>187</v>
      </c>
      <c r="M15" s="36">
        <f t="shared" si="1"/>
        <v>0.5</v>
      </c>
    </row>
    <row r="16" spans="1:13">
      <c r="B16" t="s">
        <v>195</v>
      </c>
      <c r="C16">
        <v>900</v>
      </c>
      <c r="D16" s="37">
        <v>180</v>
      </c>
      <c r="E16" s="45">
        <v>198</v>
      </c>
      <c r="G16" s="36">
        <f t="shared" si="5"/>
        <v>198</v>
      </c>
      <c r="H16">
        <v>180</v>
      </c>
      <c r="I16" s="1">
        <f t="shared" si="6"/>
        <v>0.05</v>
      </c>
      <c r="J16" s="35">
        <f t="shared" si="2"/>
        <v>171</v>
      </c>
      <c r="K16" s="33">
        <f t="shared" si="3"/>
        <v>1</v>
      </c>
      <c r="L16" s="97" t="s">
        <v>187</v>
      </c>
      <c r="M16" s="36">
        <f t="shared" si="1"/>
        <v>0.3</v>
      </c>
    </row>
    <row r="17" spans="1:18">
      <c r="B17" t="s">
        <v>196</v>
      </c>
      <c r="C17">
        <v>900</v>
      </c>
      <c r="D17" s="35">
        <f t="shared" si="4"/>
        <v>82.079999999999984</v>
      </c>
      <c r="E17" s="45">
        <v>10</v>
      </c>
      <c r="F17" s="1">
        <f>F14</f>
        <v>0.64</v>
      </c>
      <c r="G17" s="36">
        <f t="shared" si="5"/>
        <v>16.400000000000002</v>
      </c>
      <c r="H17">
        <f>90*0.96</f>
        <v>86.399999999999991</v>
      </c>
      <c r="I17" s="1">
        <f t="shared" si="6"/>
        <v>0.05</v>
      </c>
      <c r="J17" s="35">
        <f t="shared" si="2"/>
        <v>82.079999999999984</v>
      </c>
      <c r="K17" s="33">
        <f t="shared" si="3"/>
        <v>0.19980506822612093</v>
      </c>
      <c r="L17" s="97" t="s">
        <v>187</v>
      </c>
      <c r="M17" s="36">
        <f t="shared" si="1"/>
        <v>0.65789473684210542</v>
      </c>
    </row>
    <row r="18" spans="1:18">
      <c r="B18" t="s">
        <v>197</v>
      </c>
      <c r="C18">
        <v>960</v>
      </c>
      <c r="D18" s="35">
        <f t="shared" si="4"/>
        <v>237.5</v>
      </c>
      <c r="E18" s="45">
        <v>50</v>
      </c>
      <c r="G18" s="36">
        <f t="shared" si="5"/>
        <v>50</v>
      </c>
      <c r="H18">
        <v>250</v>
      </c>
      <c r="I18" s="1">
        <f>I17</f>
        <v>0.05</v>
      </c>
      <c r="J18" s="35">
        <f t="shared" si="2"/>
        <v>237.5</v>
      </c>
      <c r="K18" s="33">
        <f t="shared" si="3"/>
        <v>0.21052631578947367</v>
      </c>
      <c r="L18" s="97" t="s">
        <v>185</v>
      </c>
      <c r="M18" s="36">
        <f t="shared" si="1"/>
        <v>0.24252631578947367</v>
      </c>
    </row>
    <row r="19" spans="1:18" s="58" customFormat="1">
      <c r="B19" s="58" t="s">
        <v>449</v>
      </c>
      <c r="C19" s="58">
        <v>630</v>
      </c>
      <c r="D19" s="35">
        <f t="shared" si="4"/>
        <v>114</v>
      </c>
      <c r="E19" s="45">
        <v>40</v>
      </c>
      <c r="G19" s="36">
        <f t="shared" ref="G19" si="7">E19*(1+F19)</f>
        <v>40</v>
      </c>
      <c r="H19" s="58">
        <v>120</v>
      </c>
      <c r="I19" s="1">
        <f t="shared" si="6"/>
        <v>0.05</v>
      </c>
      <c r="J19" s="35">
        <f t="shared" ref="J19" si="8">H19*(1-I19)</f>
        <v>114</v>
      </c>
      <c r="K19" s="33">
        <f t="shared" ref="K19" si="9">IF(L19="OFF",0,IF(G19/D19&gt;1,1,G19/D19))</f>
        <v>0.35087719298245612</v>
      </c>
      <c r="L19" s="97" t="s">
        <v>185</v>
      </c>
      <c r="M19" s="36">
        <f t="shared" ref="M19" si="10">IF(L19="OFF",0,C19/(D19/60)/1000)</f>
        <v>0.33157894736842103</v>
      </c>
      <c r="R19" s="177"/>
    </row>
    <row r="20" spans="1:18">
      <c r="I20" s="33"/>
    </row>
    <row r="21" spans="1:18">
      <c r="F21" s="196" t="s">
        <v>198</v>
      </c>
      <c r="G21" s="196"/>
      <c r="H21" s="196"/>
      <c r="I21" s="196"/>
      <c r="K21" s="34">
        <f>SUM(M7:M19)</f>
        <v>5.5500112043470944</v>
      </c>
    </row>
    <row r="22" spans="1:18">
      <c r="F22" s="196" t="s">
        <v>199</v>
      </c>
      <c r="G22" s="196"/>
      <c r="H22" s="196"/>
      <c r="I22" s="196"/>
      <c r="K22" s="34">
        <f>60-K21</f>
        <v>54.449988795652907</v>
      </c>
    </row>
    <row r="24" spans="1:18">
      <c r="A24" t="s">
        <v>200</v>
      </c>
      <c r="B24" t="s">
        <v>201</v>
      </c>
      <c r="C24" t="s">
        <v>202</v>
      </c>
      <c r="D24" t="s">
        <v>203</v>
      </c>
      <c r="E24" s="27" t="s">
        <v>661</v>
      </c>
      <c r="F24" t="s">
        <v>204</v>
      </c>
      <c r="G24" t="s">
        <v>205</v>
      </c>
      <c r="H24" t="s">
        <v>206</v>
      </c>
      <c r="I24" t="s">
        <v>207</v>
      </c>
      <c r="J24" t="s">
        <v>208</v>
      </c>
      <c r="K24" t="s">
        <v>209</v>
      </c>
      <c r="M24" t="s">
        <v>14</v>
      </c>
    </row>
    <row r="25" spans="1:18">
      <c r="C25" s="87">
        <f>Stat!A8</f>
        <v>11513186</v>
      </c>
      <c r="D25" s="88">
        <f>Stat!D8</f>
        <v>0.81</v>
      </c>
      <c r="E25" s="88"/>
      <c r="F25" s="88">
        <v>2.82</v>
      </c>
      <c r="G25" s="89">
        <f>3.2%+1%+12%+5%+45%*K17+11%+9%</f>
        <v>0.50191228070175442</v>
      </c>
      <c r="H25" s="174">
        <f>Stat!C8</f>
        <v>0.25</v>
      </c>
      <c r="I25" s="89">
        <f>IgnoreD!B24</f>
        <v>0.95366849262686371</v>
      </c>
      <c r="J25" s="88">
        <v>0.43</v>
      </c>
      <c r="K25" s="89">
        <v>0.72</v>
      </c>
      <c r="M25">
        <f>C25/(D25+1)/(H25+1)</f>
        <v>5088700.9944751384</v>
      </c>
    </row>
    <row r="26" spans="1:18">
      <c r="C26" s="3"/>
      <c r="D26" s="1"/>
      <c r="E26" s="1"/>
      <c r="F26" s="1"/>
      <c r="I26" s="2"/>
      <c r="J26" s="1"/>
      <c r="K26" s="2"/>
    </row>
    <row r="27" spans="1:18">
      <c r="C27" s="3" t="s">
        <v>210</v>
      </c>
      <c r="D27" s="1" t="s">
        <v>211</v>
      </c>
      <c r="E27" s="1"/>
      <c r="F27" s="1" t="s">
        <v>596</v>
      </c>
      <c r="G27" s="2"/>
      <c r="H27" s="1"/>
      <c r="I27" s="2"/>
      <c r="J27" s="1"/>
      <c r="K27" s="2"/>
    </row>
    <row r="28" spans="1:18">
      <c r="C28" s="90">
        <f>IF(L15="ON", 91%, 90%)</f>
        <v>0.91</v>
      </c>
      <c r="D28" s="90">
        <v>0.05</v>
      </c>
      <c r="E28" s="1"/>
      <c r="F28" s="90">
        <v>7.0000000000000007E-2</v>
      </c>
      <c r="G28" s="2"/>
      <c r="H28" s="1"/>
      <c r="I28" s="2"/>
      <c r="J28" s="1"/>
      <c r="K28" s="2"/>
    </row>
    <row r="29" spans="1:18">
      <c r="C29" s="3"/>
      <c r="D29" s="1"/>
      <c r="E29" s="1"/>
      <c r="F29" s="1"/>
      <c r="G29" s="2"/>
      <c r="H29" s="1"/>
      <c r="I29" s="2"/>
      <c r="J29" s="1"/>
      <c r="K29" s="2"/>
    </row>
    <row r="30" spans="1:18">
      <c r="B30" t="s">
        <v>212</v>
      </c>
      <c r="C30" s="3" t="s">
        <v>213</v>
      </c>
      <c r="D30" s="1" t="s">
        <v>214</v>
      </c>
      <c r="E30" s="1" t="s">
        <v>215</v>
      </c>
      <c r="F30" s="1" t="s">
        <v>216</v>
      </c>
      <c r="G30" s="2" t="s">
        <v>217</v>
      </c>
      <c r="H30" s="1"/>
      <c r="I30" s="2"/>
      <c r="J30" s="1"/>
      <c r="K30" s="2"/>
    </row>
    <row r="31" spans="1:18">
      <c r="C31" s="91">
        <v>3</v>
      </c>
      <c r="D31" s="92" t="s">
        <v>218</v>
      </c>
      <c r="E31" s="1">
        <f>IF(D31="반감",50%,IF(D31="비반감",0,0))</f>
        <v>0.5</v>
      </c>
      <c r="F31" s="91">
        <f>LEV_Force!C2-1</f>
        <v>0.19999999999999996</v>
      </c>
      <c r="G31" s="91">
        <f>LEV_Force!C3-1</f>
        <v>0</v>
      </c>
      <c r="I31" s="2"/>
    </row>
    <row r="32" spans="1:18">
      <c r="C32" s="1"/>
      <c r="E32" s="1"/>
      <c r="F32" s="1"/>
      <c r="G32" s="1"/>
    </row>
    <row r="33" spans="1:31">
      <c r="B33" t="s">
        <v>219</v>
      </c>
      <c r="C33" s="1" t="s">
        <v>184</v>
      </c>
      <c r="D33" t="s">
        <v>192</v>
      </c>
      <c r="E33" s="1" t="s">
        <v>190</v>
      </c>
      <c r="F33" s="1" t="s">
        <v>191</v>
      </c>
      <c r="G33" s="1" t="s">
        <v>197</v>
      </c>
      <c r="H33" s="1" t="s">
        <v>451</v>
      </c>
    </row>
    <row r="34" spans="1:31">
      <c r="C34" s="93">
        <v>30</v>
      </c>
      <c r="D34" s="93">
        <v>30</v>
      </c>
      <c r="E34" s="93">
        <v>30</v>
      </c>
      <c r="F34" s="93">
        <v>30</v>
      </c>
      <c r="G34" s="93">
        <v>30</v>
      </c>
      <c r="H34" s="93">
        <v>30</v>
      </c>
    </row>
    <row r="35" spans="1:31">
      <c r="C35" s="1"/>
      <c r="E35" s="1"/>
    </row>
    <row r="36" spans="1:31">
      <c r="A36" t="s">
        <v>220</v>
      </c>
      <c r="B36" t="s">
        <v>221</v>
      </c>
      <c r="C36" t="s">
        <v>222</v>
      </c>
      <c r="D36" t="s">
        <v>223</v>
      </c>
      <c r="E36" t="s">
        <v>224</v>
      </c>
      <c r="F36" t="s">
        <v>225</v>
      </c>
      <c r="G36" t="s">
        <v>226</v>
      </c>
      <c r="H36" t="s">
        <v>227</v>
      </c>
      <c r="I36" t="s">
        <v>228</v>
      </c>
      <c r="J36" t="s">
        <v>229</v>
      </c>
      <c r="K36" t="s">
        <v>230</v>
      </c>
      <c r="L36" t="s">
        <v>231</v>
      </c>
      <c r="M36" t="s">
        <v>232</v>
      </c>
      <c r="N36" t="s">
        <v>233</v>
      </c>
      <c r="O36" t="s">
        <v>234</v>
      </c>
      <c r="P36" t="s">
        <v>235</v>
      </c>
      <c r="Q36" t="s">
        <v>236</v>
      </c>
      <c r="R36" s="177" t="s">
        <v>596</v>
      </c>
      <c r="S36" t="s">
        <v>237</v>
      </c>
      <c r="T36" t="s">
        <v>238</v>
      </c>
      <c r="U36" t="s">
        <v>239</v>
      </c>
      <c r="V36" t="s">
        <v>240</v>
      </c>
      <c r="W36" t="s">
        <v>241</v>
      </c>
      <c r="X36" s="27" t="s">
        <v>242</v>
      </c>
      <c r="Y36" t="s">
        <v>243</v>
      </c>
      <c r="Z36" t="s">
        <v>244</v>
      </c>
      <c r="AA36" t="s">
        <v>245</v>
      </c>
      <c r="AB36" t="s">
        <v>246</v>
      </c>
      <c r="AC36" t="s">
        <v>247</v>
      </c>
      <c r="AE36" t="s">
        <v>248</v>
      </c>
    </row>
    <row r="37" spans="1:31">
      <c r="A37" t="s">
        <v>249</v>
      </c>
      <c r="B37" t="s">
        <v>250</v>
      </c>
      <c r="C37" s="39">
        <f>PRODUCT($M$25,F37,G37,H37,I37,K37,L37,M37,N37,O37,P37)</f>
        <v>6636995044.7043467</v>
      </c>
      <c r="D37" s="39">
        <f>PRODUCT($M$25,F37,G37,H37,J37,K37,L37,M37,N37,O37,P37)</f>
        <v>2948451075.1786079</v>
      </c>
      <c r="E37" s="39">
        <f>IF($L$15="ON",31,IF($L$15="OFF",30,30))</f>
        <v>31</v>
      </c>
      <c r="F37" s="1">
        <f>(460+4*(E37-30))%</f>
        <v>4.6399999999999997</v>
      </c>
      <c r="G37">
        <v>7</v>
      </c>
      <c r="H37">
        <f>1+$K$8*0.9</f>
        <v>1.9</v>
      </c>
      <c r="I37" s="41">
        <f>$D$25+$F$25+$G$25+Q37+R38+S37+1</f>
        <v>5.8119122807017547</v>
      </c>
      <c r="J37" s="41">
        <f>$D$25+$E$25+$G$25+Q37+R38+T37+1</f>
        <v>2.5819122807017543</v>
      </c>
      <c r="K37" s="41">
        <f>1-$C$31*(1-$I$25)*(1-U37)*(1-V37)*(1-W37)*(1-X37)</f>
        <v>0.9232750237900863</v>
      </c>
      <c r="L37">
        <f>IF($J$25+Y37&gt;=1, 1.35+$K$25, (1.35+$K$25)*($J$25+Y37)+(1-($J$25+Y37)))</f>
        <v>2.0700000000000003</v>
      </c>
      <c r="M37">
        <f>(1+$H$25)*(1+Z37*AA37)*(1+AB37)</f>
        <v>3.1624999999999996</v>
      </c>
      <c r="N37">
        <f>1-(E31*(1-D28))</f>
        <v>0.52500000000000002</v>
      </c>
      <c r="O37">
        <f>(1+F31)*(1+G31)</f>
        <v>1.2</v>
      </c>
      <c r="P37">
        <f>C28/2+0.5</f>
        <v>0.95500000000000007</v>
      </c>
      <c r="Q37" s="1">
        <v>0.2</v>
      </c>
      <c r="S37" s="1">
        <f>(E37/100+0.1)</f>
        <v>0.41000000000000003</v>
      </c>
      <c r="U37" s="1">
        <f>E37/100</f>
        <v>0.31</v>
      </c>
      <c r="V37" s="1">
        <f>IF(Z37&gt;=40, 20%, 0)</f>
        <v>0.2</v>
      </c>
      <c r="Y37" s="1">
        <v>1</v>
      </c>
      <c r="Z37">
        <v>60</v>
      </c>
      <c r="AA37" s="1">
        <v>0.02</v>
      </c>
      <c r="AB37" s="1">
        <v>0.15</v>
      </c>
      <c r="AE37" s="26">
        <f>1-(1-$I$25)*(1-U37)*(1-V37)*(1-W37)*(1-X37)</f>
        <v>0.97442500793002873</v>
      </c>
    </row>
    <row r="38" spans="1:31">
      <c r="B38" t="s">
        <v>251</v>
      </c>
      <c r="C38" s="39">
        <f t="shared" ref="C38:C50" si="11">PRODUCT($M$25,F38,G38,H38,I38,K38,L38,M38,N38,O38,P38)</f>
        <v>4703280875.8926306</v>
      </c>
      <c r="D38" s="39">
        <f t="shared" ref="D38:D50" si="12">PRODUCT($M$25,F38,G38,H38,J38,K38,L38,M38,N38,O38,P38)</f>
        <v>2535121656.5967774</v>
      </c>
      <c r="E38" s="39"/>
      <c r="F38" s="1">
        <v>6</v>
      </c>
      <c r="G38">
        <v>3</v>
      </c>
      <c r="H38">
        <f t="shared" ref="H38:H50" si="13">1+$K$8*0.9</f>
        <v>1.9</v>
      </c>
      <c r="I38" s="41">
        <f>$D$25+$F$25+$G$25+Q38+R39+S38+1</f>
        <v>7.2019122807017544</v>
      </c>
      <c r="J38" s="41">
        <f>$D$25+$E$25+$G$25+Q38+R39+T38+1</f>
        <v>3.8819122807017545</v>
      </c>
      <c r="K38" s="41">
        <f t="shared" ref="K38:K50" si="14">1-$C$31*(1-$I$25)*(1-U38)*(1-V38)*(1-W38)*(1-X38)</f>
        <v>0.95274186247940096</v>
      </c>
      <c r="L38">
        <f t="shared" ref="L38:L50" si="15">IF($J$25+Y38&gt;=1, 1.35+$K$25, (1.35+$K$25)*($J$25+Y38)+(1-($J$25+Y38)))</f>
        <v>2.0700000000000003</v>
      </c>
      <c r="M38">
        <f t="shared" ref="M38:M50" si="16">(1+$H$25)*(1+Z38*AA38)*(1+AB38)</f>
        <v>3.1624999999999996</v>
      </c>
      <c r="N38">
        <f>N37</f>
        <v>0.52500000000000002</v>
      </c>
      <c r="O38">
        <f>O37</f>
        <v>1.2</v>
      </c>
      <c r="P38">
        <f>P37</f>
        <v>0.95500000000000007</v>
      </c>
      <c r="Q38" s="1">
        <v>1.5</v>
      </c>
      <c r="R38" s="1">
        <f>$F$28</f>
        <v>7.0000000000000007E-2</v>
      </c>
      <c r="S38" s="1">
        <v>0.5</v>
      </c>
      <c r="U38" s="1">
        <v>0.5</v>
      </c>
      <c r="V38" s="1">
        <f t="shared" ref="V38:V49" si="17">IF(Z38&gt;=40, 20%, 0)</f>
        <v>0.2</v>
      </c>
      <c r="W38" s="1">
        <v>0.15</v>
      </c>
      <c r="Y38" s="1">
        <v>1</v>
      </c>
      <c r="Z38">
        <v>60</v>
      </c>
      <c r="AA38" s="1">
        <v>0.02</v>
      </c>
      <c r="AB38" s="1">
        <f t="shared" ref="AB38:AB50" si="18">AB37</f>
        <v>0.15</v>
      </c>
      <c r="AE38" s="26">
        <f t="shared" ref="AE38:AE70" si="19">1-(1-$I$25)*(1-U38)*(1-V38)*(1-W38)*(1-X38)</f>
        <v>0.98424728749313362</v>
      </c>
    </row>
    <row r="39" spans="1:31">
      <c r="B39" t="s">
        <v>252</v>
      </c>
      <c r="C39" s="39">
        <f t="shared" si="11"/>
        <v>4703280875.8926306</v>
      </c>
      <c r="D39" s="39">
        <f t="shared" si="12"/>
        <v>2535121656.5967774</v>
      </c>
      <c r="E39" s="39"/>
      <c r="F39" s="1">
        <v>6</v>
      </c>
      <c r="G39">
        <v>3</v>
      </c>
      <c r="H39">
        <f t="shared" si="13"/>
        <v>1.9</v>
      </c>
      <c r="I39" s="41">
        <f t="shared" ref="I39:I47" si="20">$D$25+$F$25+$G$25+Q39+R39+S39+1</f>
        <v>7.2019122807017544</v>
      </c>
      <c r="J39" s="41">
        <f t="shared" ref="J39:J81" si="21">$D$25+$E$25+$G$25+Q39+R39+T39+1</f>
        <v>3.8819122807017545</v>
      </c>
      <c r="K39" s="41">
        <f t="shared" si="14"/>
        <v>0.95274186247940096</v>
      </c>
      <c r="L39">
        <f t="shared" si="15"/>
        <v>2.0700000000000003</v>
      </c>
      <c r="M39">
        <f t="shared" si="16"/>
        <v>3.1624999999999996</v>
      </c>
      <c r="N39">
        <f t="shared" ref="N39:N53" si="22">N38</f>
        <v>0.52500000000000002</v>
      </c>
      <c r="O39">
        <f t="shared" ref="O39:O46" si="23">O38</f>
        <v>1.2</v>
      </c>
      <c r="P39">
        <f t="shared" ref="P39:P46" si="24">P38</f>
        <v>0.95500000000000007</v>
      </c>
      <c r="Q39" s="1">
        <v>1.5</v>
      </c>
      <c r="R39" s="1">
        <f>$F$28</f>
        <v>7.0000000000000007E-2</v>
      </c>
      <c r="S39" s="1">
        <v>0.5</v>
      </c>
      <c r="U39" s="1">
        <v>0.5</v>
      </c>
      <c r="V39" s="1">
        <f t="shared" si="17"/>
        <v>0.2</v>
      </c>
      <c r="W39" s="1">
        <f>W38</f>
        <v>0.15</v>
      </c>
      <c r="Y39" s="1">
        <f t="shared" ref="Y39:AA41" si="25">Y38</f>
        <v>1</v>
      </c>
      <c r="Z39" s="42">
        <f t="shared" si="25"/>
        <v>60</v>
      </c>
      <c r="AA39" s="43">
        <f t="shared" si="25"/>
        <v>0.02</v>
      </c>
      <c r="AB39" s="1">
        <f t="shared" si="18"/>
        <v>0.15</v>
      </c>
      <c r="AE39" s="26">
        <f t="shared" si="19"/>
        <v>0.98424728749313362</v>
      </c>
    </row>
    <row r="40" spans="1:31">
      <c r="B40" t="s">
        <v>253</v>
      </c>
      <c r="C40" s="39">
        <f t="shared" si="11"/>
        <v>5487161021.8747339</v>
      </c>
      <c r="D40" s="39">
        <f t="shared" si="12"/>
        <v>2957641932.6962385</v>
      </c>
      <c r="E40" s="39"/>
      <c r="F40" s="1">
        <v>7</v>
      </c>
      <c r="G40">
        <v>3</v>
      </c>
      <c r="H40">
        <f t="shared" si="13"/>
        <v>1.9</v>
      </c>
      <c r="I40" s="41">
        <f t="shared" si="20"/>
        <v>7.2019122807017544</v>
      </c>
      <c r="J40" s="41">
        <f t="shared" si="21"/>
        <v>3.8819122807017545</v>
      </c>
      <c r="K40" s="41">
        <f t="shared" si="14"/>
        <v>0.95274186247940096</v>
      </c>
      <c r="L40">
        <f t="shared" si="15"/>
        <v>2.0700000000000003</v>
      </c>
      <c r="M40">
        <f t="shared" si="16"/>
        <v>3.1624999999999996</v>
      </c>
      <c r="N40">
        <f t="shared" si="22"/>
        <v>0.52500000000000002</v>
      </c>
      <c r="O40">
        <f t="shared" si="23"/>
        <v>1.2</v>
      </c>
      <c r="P40">
        <f t="shared" si="24"/>
        <v>0.95500000000000007</v>
      </c>
      <c r="Q40" s="1">
        <v>1.5</v>
      </c>
      <c r="R40" s="1">
        <f>$F$28</f>
        <v>7.0000000000000007E-2</v>
      </c>
      <c r="S40" s="1">
        <v>0.5</v>
      </c>
      <c r="U40" s="1">
        <v>0.5</v>
      </c>
      <c r="V40" s="1">
        <f t="shared" si="17"/>
        <v>0.2</v>
      </c>
      <c r="W40" s="1">
        <f>W39</f>
        <v>0.15</v>
      </c>
      <c r="Y40" s="1">
        <f t="shared" si="25"/>
        <v>1</v>
      </c>
      <c r="Z40" s="42">
        <f t="shared" si="25"/>
        <v>60</v>
      </c>
      <c r="AA40" s="43">
        <f t="shared" si="25"/>
        <v>0.02</v>
      </c>
      <c r="AB40" s="1">
        <f t="shared" si="18"/>
        <v>0.15</v>
      </c>
      <c r="AE40" s="26">
        <f t="shared" si="19"/>
        <v>0.98424728749313362</v>
      </c>
    </row>
    <row r="41" spans="1:31">
      <c r="B41" t="s">
        <v>254</v>
      </c>
      <c r="C41" s="39">
        <f t="shared" si="11"/>
        <v>6271041167.8568392</v>
      </c>
      <c r="D41" s="39">
        <f t="shared" si="12"/>
        <v>3380162208.7957025</v>
      </c>
      <c r="E41" s="39"/>
      <c r="F41" s="1">
        <v>8</v>
      </c>
      <c r="G41">
        <v>3</v>
      </c>
      <c r="H41">
        <f t="shared" si="13"/>
        <v>1.9</v>
      </c>
      <c r="I41" s="41">
        <f t="shared" si="20"/>
        <v>7.2019122807017544</v>
      </c>
      <c r="J41" s="41">
        <f t="shared" si="21"/>
        <v>3.8819122807017545</v>
      </c>
      <c r="K41" s="41">
        <f t="shared" si="14"/>
        <v>0.95274186247940096</v>
      </c>
      <c r="L41">
        <f t="shared" si="15"/>
        <v>2.0700000000000003</v>
      </c>
      <c r="M41">
        <f t="shared" si="16"/>
        <v>3.1624999999999996</v>
      </c>
      <c r="N41">
        <f t="shared" si="22"/>
        <v>0.52500000000000002</v>
      </c>
      <c r="O41">
        <f t="shared" si="23"/>
        <v>1.2</v>
      </c>
      <c r="P41">
        <f t="shared" si="24"/>
        <v>0.95500000000000007</v>
      </c>
      <c r="Q41" s="1">
        <v>1.5</v>
      </c>
      <c r="R41" s="1">
        <f>$F$28</f>
        <v>7.0000000000000007E-2</v>
      </c>
      <c r="S41" s="1">
        <v>0.5</v>
      </c>
      <c r="U41" s="1">
        <v>0.5</v>
      </c>
      <c r="V41" s="1">
        <f t="shared" si="17"/>
        <v>0.2</v>
      </c>
      <c r="W41" s="1">
        <f>W40</f>
        <v>0.15</v>
      </c>
      <c r="Y41" s="1">
        <f t="shared" si="25"/>
        <v>1</v>
      </c>
      <c r="Z41" s="42">
        <f t="shared" si="25"/>
        <v>60</v>
      </c>
      <c r="AA41" s="43">
        <f t="shared" si="25"/>
        <v>0.02</v>
      </c>
      <c r="AB41" s="1">
        <f t="shared" si="18"/>
        <v>0.15</v>
      </c>
      <c r="AE41" s="26">
        <f t="shared" si="19"/>
        <v>0.98424728749313362</v>
      </c>
    </row>
    <row r="42" spans="1:31">
      <c r="B42" t="s">
        <v>255</v>
      </c>
      <c r="C42" s="39">
        <f t="shared" si="11"/>
        <v>5585536300.7619352</v>
      </c>
      <c r="D42" s="39">
        <f t="shared" si="12"/>
        <v>2333297471.8181562</v>
      </c>
      <c r="E42" s="39"/>
      <c r="F42" s="1">
        <v>4.5</v>
      </c>
      <c r="G42">
        <v>6</v>
      </c>
      <c r="H42">
        <f t="shared" si="13"/>
        <v>1.9</v>
      </c>
      <c r="I42" s="41">
        <f t="shared" si="20"/>
        <v>5.7019122807017544</v>
      </c>
      <c r="J42" s="41">
        <f t="shared" si="21"/>
        <v>2.3819122807017545</v>
      </c>
      <c r="K42" s="41">
        <f t="shared" si="14"/>
        <v>0.95274186247940096</v>
      </c>
      <c r="L42">
        <f t="shared" si="15"/>
        <v>2.0700000000000003</v>
      </c>
      <c r="M42">
        <f t="shared" si="16"/>
        <v>3.1624999999999996</v>
      </c>
      <c r="N42">
        <f t="shared" si="22"/>
        <v>0.52500000000000002</v>
      </c>
      <c r="O42">
        <f t="shared" si="23"/>
        <v>1.2</v>
      </c>
      <c r="P42">
        <f t="shared" si="24"/>
        <v>0.95500000000000007</v>
      </c>
      <c r="R42" s="1">
        <f>$F$28</f>
        <v>7.0000000000000007E-2</v>
      </c>
      <c r="S42" s="1">
        <v>0.5</v>
      </c>
      <c r="U42" s="1">
        <v>0.5</v>
      </c>
      <c r="V42" s="1">
        <f t="shared" si="17"/>
        <v>0.2</v>
      </c>
      <c r="W42" s="1">
        <f>W41</f>
        <v>0.15</v>
      </c>
      <c r="Y42" s="1">
        <f>Y41</f>
        <v>1</v>
      </c>
      <c r="Z42">
        <v>60</v>
      </c>
      <c r="AA42" s="1">
        <v>0.02</v>
      </c>
      <c r="AB42" s="1">
        <f t="shared" si="18"/>
        <v>0.15</v>
      </c>
      <c r="AE42" s="26">
        <f t="shared" si="19"/>
        <v>0.98424728749313362</v>
      </c>
    </row>
    <row r="43" spans="1:31">
      <c r="B43" t="s">
        <v>256</v>
      </c>
      <c r="C43" s="39">
        <f t="shared" si="11"/>
        <v>4281416277.3023343</v>
      </c>
      <c r="D43" s="39">
        <f t="shared" si="12"/>
        <v>1757530724.3702848</v>
      </c>
      <c r="E43" s="39"/>
      <c r="F43" s="1">
        <v>4.5</v>
      </c>
      <c r="G43">
        <v>6</v>
      </c>
      <c r="H43">
        <f t="shared" si="13"/>
        <v>1.9</v>
      </c>
      <c r="I43" s="41">
        <f t="shared" si="20"/>
        <v>5.6319122807017541</v>
      </c>
      <c r="J43" s="41">
        <f t="shared" si="21"/>
        <v>2.3119122807017547</v>
      </c>
      <c r="K43" s="41">
        <f t="shared" si="14"/>
        <v>0.94440219115223645</v>
      </c>
      <c r="L43">
        <f t="shared" si="15"/>
        <v>1.6206</v>
      </c>
      <c r="M43">
        <f t="shared" si="16"/>
        <v>3.1624999999999996</v>
      </c>
      <c r="N43">
        <f t="shared" si="22"/>
        <v>0.52500000000000002</v>
      </c>
      <c r="O43">
        <f t="shared" si="23"/>
        <v>1.2</v>
      </c>
      <c r="P43">
        <f t="shared" si="24"/>
        <v>0.95500000000000007</v>
      </c>
      <c r="S43" s="1">
        <v>0.5</v>
      </c>
      <c r="U43" s="1">
        <v>0.5</v>
      </c>
      <c r="V43" s="1">
        <f t="shared" si="17"/>
        <v>0.2</v>
      </c>
      <c r="Y43" s="1">
        <v>0.15</v>
      </c>
      <c r="Z43" s="42">
        <f>Z42</f>
        <v>60</v>
      </c>
      <c r="AA43" s="43">
        <f>AA42</f>
        <v>0.02</v>
      </c>
      <c r="AB43" s="1">
        <f t="shared" si="18"/>
        <v>0.15</v>
      </c>
      <c r="AE43" s="26">
        <f t="shared" si="19"/>
        <v>0.98146739705074548</v>
      </c>
    </row>
    <row r="44" spans="1:31">
      <c r="B44" t="s">
        <v>257</v>
      </c>
      <c r="C44" s="39">
        <f t="shared" si="11"/>
        <v>457392657.19686884</v>
      </c>
      <c r="D44" s="39">
        <f t="shared" si="12"/>
        <v>209436285.82930601</v>
      </c>
      <c r="E44" s="39">
        <f>IF($L$15="ON",31,IF($L$15="OFF",30,30))</f>
        <v>31</v>
      </c>
      <c r="F44" s="1">
        <f>250%+5*(E44-30)%</f>
        <v>2.5499999999999998</v>
      </c>
      <c r="G44">
        <v>1</v>
      </c>
      <c r="H44">
        <f t="shared" si="13"/>
        <v>1.9</v>
      </c>
      <c r="I44" s="41">
        <f t="shared" si="20"/>
        <v>5.2019122807017544</v>
      </c>
      <c r="J44" s="41">
        <f t="shared" si="21"/>
        <v>2.3819122807017545</v>
      </c>
      <c r="K44" s="41">
        <f t="shared" si="14"/>
        <v>0.90548372495880192</v>
      </c>
      <c r="L44">
        <f t="shared" si="15"/>
        <v>2.0700000000000003</v>
      </c>
      <c r="M44">
        <f t="shared" si="16"/>
        <v>3.1624999999999996</v>
      </c>
      <c r="N44">
        <f t="shared" si="22"/>
        <v>0.52500000000000002</v>
      </c>
      <c r="O44">
        <f t="shared" si="23"/>
        <v>1.2</v>
      </c>
      <c r="P44">
        <f t="shared" si="24"/>
        <v>0.95500000000000007</v>
      </c>
      <c r="R44" s="1">
        <f>$F$28</f>
        <v>7.0000000000000007E-2</v>
      </c>
      <c r="V44" s="1">
        <f t="shared" si="17"/>
        <v>0.2</v>
      </c>
      <c r="W44" s="1">
        <f>W42</f>
        <v>0.15</v>
      </c>
      <c r="Y44" s="1">
        <f>Y42</f>
        <v>1</v>
      </c>
      <c r="Z44">
        <v>60</v>
      </c>
      <c r="AA44" s="1">
        <v>0.02</v>
      </c>
      <c r="AB44" s="1">
        <f t="shared" si="18"/>
        <v>0.15</v>
      </c>
      <c r="AE44" s="26">
        <f t="shared" si="19"/>
        <v>0.96849457498626734</v>
      </c>
    </row>
    <row r="45" spans="1:31">
      <c r="B45" t="s">
        <v>258</v>
      </c>
      <c r="C45" s="39">
        <f t="shared" si="11"/>
        <v>346765925.78756541</v>
      </c>
      <c r="D45" s="39">
        <f t="shared" si="12"/>
        <v>156217089.94752339</v>
      </c>
      <c r="E45" s="39">
        <f>IF($L$15="ON",31,IF($L$15="OFF",30,30))</f>
        <v>31</v>
      </c>
      <c r="F45" s="1">
        <f>F44</f>
        <v>2.5499999999999998</v>
      </c>
      <c r="G45">
        <v>1</v>
      </c>
      <c r="H45">
        <f t="shared" si="13"/>
        <v>1.9</v>
      </c>
      <c r="I45" s="41">
        <f t="shared" si="20"/>
        <v>5.1319122807017541</v>
      </c>
      <c r="J45" s="41">
        <f t="shared" si="21"/>
        <v>2.3119122807017547</v>
      </c>
      <c r="K45" s="41">
        <f t="shared" si="14"/>
        <v>0.8888043823044729</v>
      </c>
      <c r="L45">
        <f t="shared" si="15"/>
        <v>1.6206</v>
      </c>
      <c r="M45">
        <f t="shared" si="16"/>
        <v>3.1624999999999996</v>
      </c>
      <c r="N45">
        <f t="shared" si="22"/>
        <v>0.52500000000000002</v>
      </c>
      <c r="O45">
        <f t="shared" si="23"/>
        <v>1.2</v>
      </c>
      <c r="P45">
        <f t="shared" si="24"/>
        <v>0.95500000000000007</v>
      </c>
      <c r="V45" s="1">
        <f t="shared" si="17"/>
        <v>0.2</v>
      </c>
      <c r="Y45" s="1">
        <v>0.15</v>
      </c>
      <c r="Z45" s="42">
        <f>Z44</f>
        <v>60</v>
      </c>
      <c r="AA45" s="43">
        <f>AA44</f>
        <v>0.02</v>
      </c>
      <c r="AB45" s="1">
        <f t="shared" si="18"/>
        <v>0.15</v>
      </c>
      <c r="AE45" s="26">
        <f t="shared" si="19"/>
        <v>0.96293479410149097</v>
      </c>
    </row>
    <row r="46" spans="1:31">
      <c r="B46" t="s">
        <v>259</v>
      </c>
      <c r="C46" s="39">
        <f t="shared" si="11"/>
        <v>6529055969.3984432</v>
      </c>
      <c r="D46" s="39">
        <f t="shared" si="12"/>
        <v>2989600315.3673487</v>
      </c>
      <c r="E46" s="39">
        <f>IF($L$15="ON",31,IF($L$15="OFF",30,30))</f>
        <v>31</v>
      </c>
      <c r="F46" s="1">
        <f>515%+5*(E46-30)%</f>
        <v>5.2</v>
      </c>
      <c r="G46">
        <v>7</v>
      </c>
      <c r="H46">
        <f t="shared" si="13"/>
        <v>1.9</v>
      </c>
      <c r="I46" s="41">
        <f t="shared" si="20"/>
        <v>5.2019122807017544</v>
      </c>
      <c r="J46" s="41">
        <f t="shared" si="21"/>
        <v>2.3819122807017545</v>
      </c>
      <c r="K46" s="41">
        <f t="shared" si="14"/>
        <v>0.90548372495880192</v>
      </c>
      <c r="L46">
        <f t="shared" si="15"/>
        <v>2.0700000000000003</v>
      </c>
      <c r="M46">
        <f t="shared" si="16"/>
        <v>3.1624999999999996</v>
      </c>
      <c r="N46">
        <f t="shared" si="22"/>
        <v>0.52500000000000002</v>
      </c>
      <c r="O46">
        <f t="shared" si="23"/>
        <v>1.2</v>
      </c>
      <c r="P46">
        <f t="shared" si="24"/>
        <v>0.95500000000000007</v>
      </c>
      <c r="R46" s="1">
        <f>$F$28</f>
        <v>7.0000000000000007E-2</v>
      </c>
      <c r="V46" s="1">
        <f t="shared" si="17"/>
        <v>0.2</v>
      </c>
      <c r="W46" s="1">
        <f>W44</f>
        <v>0.15</v>
      </c>
      <c r="Y46" s="1">
        <f>Y44</f>
        <v>1</v>
      </c>
      <c r="Z46">
        <v>60</v>
      </c>
      <c r="AA46" s="1">
        <v>0.02</v>
      </c>
      <c r="AB46" s="1">
        <f t="shared" si="18"/>
        <v>0.15</v>
      </c>
      <c r="AE46" s="26">
        <f t="shared" si="19"/>
        <v>0.96849457498626734</v>
      </c>
    </row>
    <row r="47" spans="1:31">
      <c r="B47" t="s">
        <v>260</v>
      </c>
      <c r="C47" s="39">
        <f t="shared" si="11"/>
        <v>130067283717.83984</v>
      </c>
      <c r="D47" s="39">
        <f t="shared" si="12"/>
        <v>58594951374.280701</v>
      </c>
      <c r="E47" s="39">
        <f>E34</f>
        <v>30</v>
      </c>
      <c r="F47" s="38">
        <f>DPM_DB!B5</f>
        <v>2989.7999999999997</v>
      </c>
      <c r="G47" s="42">
        <v>1</v>
      </c>
      <c r="H47" s="27">
        <v>1</v>
      </c>
      <c r="I47" s="41">
        <f t="shared" si="20"/>
        <v>5.1319122807017541</v>
      </c>
      <c r="J47" s="41">
        <f>$D$25+$E$25+$G$25+Q47+R47+T47+1</f>
        <v>2.3119122807017547</v>
      </c>
      <c r="K47" s="41">
        <f>1-$C$31*(1-$I$25)*(1-U47)*(1-V47)*(1-W47)*(1-X47)</f>
        <v>0.93050273894029556</v>
      </c>
      <c r="L47">
        <f t="shared" si="15"/>
        <v>2.0700000000000003</v>
      </c>
      <c r="M47">
        <f t="shared" si="16"/>
        <v>1.4375</v>
      </c>
      <c r="N47">
        <f t="shared" si="22"/>
        <v>0.52500000000000002</v>
      </c>
      <c r="O47">
        <f t="shared" ref="O47:P53" si="26">O46</f>
        <v>1.2</v>
      </c>
      <c r="P47">
        <f t="shared" si="26"/>
        <v>0.95500000000000007</v>
      </c>
      <c r="U47" s="1">
        <v>0.5</v>
      </c>
      <c r="V47" s="1">
        <f t="shared" si="17"/>
        <v>0</v>
      </c>
      <c r="W47" s="1"/>
      <c r="Y47" s="1">
        <v>1</v>
      </c>
      <c r="AB47" s="1">
        <f t="shared" si="18"/>
        <v>0.15</v>
      </c>
      <c r="AE47" s="26">
        <f t="shared" si="19"/>
        <v>0.97683424631343185</v>
      </c>
    </row>
    <row r="48" spans="1:31">
      <c r="B48" t="s">
        <v>261</v>
      </c>
      <c r="C48" s="39">
        <f t="shared" ref="C48" si="27">PRODUCT($M$25,F48,G48,H48,I48,K48,L48,M48,N48,O48,P48)</f>
        <v>133318462709.51981</v>
      </c>
      <c r="D48" s="39">
        <f t="shared" ref="D48" si="28">PRODUCT($M$25,F48,G48,H48,J48,K48,L48,M48,N48,O48,P48)</f>
        <v>61045413001.321373</v>
      </c>
      <c r="E48" s="39">
        <f>E47</f>
        <v>30</v>
      </c>
      <c r="F48" s="38">
        <f>DPM_DB!B5</f>
        <v>2989.7999999999997</v>
      </c>
      <c r="G48" s="42">
        <v>1</v>
      </c>
      <c r="H48" s="27">
        <v>1</v>
      </c>
      <c r="I48" s="41">
        <f>$D$25+$F$25+$G$25+Q48+R48+S48+1</f>
        <v>5.2019122807017544</v>
      </c>
      <c r="J48" s="41">
        <f t="shared" si="21"/>
        <v>2.3819122807017545</v>
      </c>
      <c r="K48" s="41">
        <f t="shared" si="14"/>
        <v>0.94092732809925117</v>
      </c>
      <c r="L48">
        <f t="shared" ref="L48" si="29">IF($J$25+Y48&gt;=1, 1.35+$K$25, (1.35+$K$25)*($J$25+Y48)+(1-($J$25+Y48)))</f>
        <v>2.0700000000000003</v>
      </c>
      <c r="M48">
        <f t="shared" si="16"/>
        <v>1.4375</v>
      </c>
      <c r="N48">
        <f t="shared" si="22"/>
        <v>0.52500000000000002</v>
      </c>
      <c r="O48">
        <f t="shared" si="26"/>
        <v>1.2</v>
      </c>
      <c r="P48">
        <f t="shared" si="26"/>
        <v>0.95500000000000007</v>
      </c>
      <c r="R48" s="1">
        <f>$F$28</f>
        <v>7.0000000000000007E-2</v>
      </c>
      <c r="U48" s="1">
        <v>0.5</v>
      </c>
      <c r="V48" s="1">
        <f t="shared" ref="V48" si="30">IF(Z48&gt;=40, 20%, 0)</f>
        <v>0</v>
      </c>
      <c r="W48" s="1">
        <v>0.15</v>
      </c>
      <c r="Y48" s="1">
        <v>1</v>
      </c>
      <c r="AB48" s="1">
        <f t="shared" si="18"/>
        <v>0.15</v>
      </c>
      <c r="AE48" s="26">
        <f t="shared" si="19"/>
        <v>0.98030910936641713</v>
      </c>
    </row>
    <row r="49" spans="1:31">
      <c r="B49" t="s">
        <v>262</v>
      </c>
      <c r="C49" s="39">
        <f t="shared" si="11"/>
        <v>204245062075.95306</v>
      </c>
      <c r="D49" s="39">
        <f t="shared" si="12"/>
        <v>93522111750.368729</v>
      </c>
      <c r="E49" s="39">
        <f>F34</f>
        <v>30</v>
      </c>
      <c r="F49" s="38">
        <f>DPM_DB!B11</f>
        <v>4580.3999999999996</v>
      </c>
      <c r="G49" s="42">
        <v>1</v>
      </c>
      <c r="H49" s="27">
        <v>1</v>
      </c>
      <c r="I49" s="41">
        <f t="shared" ref="I49:I50" si="31">$D$25+$F$25+$G$25+Q49+R49+S49+1</f>
        <v>5.2019122807017544</v>
      </c>
      <c r="J49" s="41">
        <f t="shared" si="21"/>
        <v>2.3819122807017545</v>
      </c>
      <c r="K49" s="41">
        <f t="shared" si="14"/>
        <v>0.94092732809925117</v>
      </c>
      <c r="L49">
        <f t="shared" si="15"/>
        <v>2.0700000000000003</v>
      </c>
      <c r="M49">
        <f t="shared" si="16"/>
        <v>1.4375</v>
      </c>
      <c r="N49">
        <f t="shared" si="22"/>
        <v>0.52500000000000002</v>
      </c>
      <c r="O49">
        <f t="shared" si="26"/>
        <v>1.2</v>
      </c>
      <c r="P49">
        <f t="shared" si="26"/>
        <v>0.95500000000000007</v>
      </c>
      <c r="R49" s="1">
        <f>$F$28</f>
        <v>7.0000000000000007E-2</v>
      </c>
      <c r="U49" s="1">
        <v>0.5</v>
      </c>
      <c r="V49" s="1">
        <f t="shared" si="17"/>
        <v>0</v>
      </c>
      <c r="W49" s="1">
        <f>IF($L$7="ON", 15%, 0)</f>
        <v>0.15</v>
      </c>
      <c r="Y49" s="1">
        <v>1</v>
      </c>
      <c r="AB49" s="1">
        <f t="shared" si="18"/>
        <v>0.15</v>
      </c>
      <c r="AE49" s="26">
        <f t="shared" si="19"/>
        <v>0.98030910936641713</v>
      </c>
    </row>
    <row r="50" spans="1:31">
      <c r="B50" t="s">
        <v>263</v>
      </c>
      <c r="C50" s="39">
        <f t="shared" si="11"/>
        <v>514866267.18453622</v>
      </c>
      <c r="D50" s="39">
        <f t="shared" si="12"/>
        <v>350471193.12646067</v>
      </c>
      <c r="E50" s="39"/>
      <c r="F50" s="40">
        <v>1.1000000000000001</v>
      </c>
      <c r="G50">
        <v>2</v>
      </c>
      <c r="H50">
        <f t="shared" si="13"/>
        <v>1.9</v>
      </c>
      <c r="I50" s="41">
        <f t="shared" si="31"/>
        <v>8.8319122807017543</v>
      </c>
      <c r="J50" s="41">
        <f t="shared" si="21"/>
        <v>6.0119122807017549</v>
      </c>
      <c r="K50" s="41">
        <f t="shared" si="14"/>
        <v>0.8888043823044729</v>
      </c>
      <c r="L50">
        <f t="shared" si="15"/>
        <v>1.6206</v>
      </c>
      <c r="M50">
        <f t="shared" si="16"/>
        <v>3.1624999999999996</v>
      </c>
      <c r="N50">
        <f t="shared" si="22"/>
        <v>0.52500000000000002</v>
      </c>
      <c r="O50">
        <f t="shared" si="26"/>
        <v>1.2</v>
      </c>
      <c r="P50">
        <f t="shared" si="26"/>
        <v>0.95500000000000007</v>
      </c>
      <c r="Q50" s="1">
        <v>3.7</v>
      </c>
      <c r="R50" s="1"/>
      <c r="V50" s="1">
        <v>0.2</v>
      </c>
      <c r="Y50" s="1">
        <v>0.15</v>
      </c>
      <c r="Z50" s="42">
        <f>Z38</f>
        <v>60</v>
      </c>
      <c r="AA50" s="43">
        <v>0.02</v>
      </c>
      <c r="AB50" s="1">
        <f t="shared" si="18"/>
        <v>0.15</v>
      </c>
      <c r="AE50" s="26">
        <f t="shared" si="19"/>
        <v>0.96293479410149097</v>
      </c>
    </row>
    <row r="51" spans="1:31">
      <c r="B51" t="s">
        <v>264</v>
      </c>
      <c r="C51" s="39">
        <f t="shared" ref="C51:C52" si="32">PRODUCT($M$25,F51,G51,H51,I51,K51,L51,M51,N51,O51,P51)</f>
        <v>35360022921.592171</v>
      </c>
      <c r="D51" s="39">
        <f t="shared" ref="D51:D52" si="33">PRODUCT($M$25,F51,G51,H51,J51,K51,L51,M51,N51,O51,P51)</f>
        <v>15929592472.914568</v>
      </c>
      <c r="E51" s="39">
        <f>G34</f>
        <v>30</v>
      </c>
      <c r="F51" s="40">
        <f>DPM_DB!B17</f>
        <v>1122</v>
      </c>
      <c r="G51" s="42">
        <v>1</v>
      </c>
      <c r="H51" s="27">
        <v>1</v>
      </c>
      <c r="I51" s="41">
        <f>$D$25+$F$25+$G$25+Q51+R51+S51+1</f>
        <v>5.1319122807017541</v>
      </c>
      <c r="J51" s="41">
        <f t="shared" si="21"/>
        <v>2.3119122807017547</v>
      </c>
      <c r="K51" s="41">
        <f t="shared" ref="K51:K52" si="34">1-$C$31*(1-$I$25)*(1-U51)*(1-V51)*(1-W51)*(1-X51)</f>
        <v>0.86100547788059112</v>
      </c>
      <c r="L51">
        <f t="shared" ref="L51:L52" si="35">IF($J$25+Y51&gt;=1, 1.35+$K$25, (1.35+$K$25)*($J$25+Y51)+(1-($J$25+Y51)))</f>
        <v>1.6206</v>
      </c>
      <c r="M51">
        <f t="shared" ref="M51:M52" si="36">(1+$H$25)*(1+Z51*AA51)*(1+AB51)</f>
        <v>1.4375</v>
      </c>
      <c r="N51">
        <f t="shared" si="22"/>
        <v>0.52500000000000002</v>
      </c>
      <c r="O51">
        <f t="shared" si="26"/>
        <v>1.2</v>
      </c>
      <c r="P51">
        <f t="shared" si="26"/>
        <v>0.95500000000000007</v>
      </c>
      <c r="Q51" s="1"/>
      <c r="R51" s="1"/>
      <c r="Y51" s="1">
        <v>0.15</v>
      </c>
      <c r="Z51" s="42"/>
      <c r="AA51" s="43"/>
      <c r="AB51" s="1">
        <f>AB50</f>
        <v>0.15</v>
      </c>
      <c r="AE51" s="26">
        <f t="shared" si="19"/>
        <v>0.95366849262686371</v>
      </c>
    </row>
    <row r="52" spans="1:31">
      <c r="B52" t="s">
        <v>265</v>
      </c>
      <c r="C52" s="39">
        <f t="shared" si="32"/>
        <v>45781587586.095764</v>
      </c>
      <c r="D52" s="39">
        <f t="shared" si="33"/>
        <v>20963007412.849644</v>
      </c>
      <c r="E52" s="39">
        <f>E51</f>
        <v>30</v>
      </c>
      <c r="F52" s="40">
        <f>F51</f>
        <v>1122</v>
      </c>
      <c r="G52" s="42">
        <v>1</v>
      </c>
      <c r="H52" s="27">
        <v>1</v>
      </c>
      <c r="I52" s="41">
        <f t="shared" ref="I52:I59" si="37">$D$25+$F$25+$G$25+Q52+R52+S52+1</f>
        <v>5.2019122807017544</v>
      </c>
      <c r="J52" s="41">
        <f t="shared" si="21"/>
        <v>2.3819122807017545</v>
      </c>
      <c r="K52" s="41">
        <f t="shared" si="34"/>
        <v>0.86100547788059112</v>
      </c>
      <c r="L52">
        <f t="shared" si="35"/>
        <v>2.0700000000000003</v>
      </c>
      <c r="M52">
        <f t="shared" si="36"/>
        <v>1.4375</v>
      </c>
      <c r="N52">
        <f t="shared" si="22"/>
        <v>0.52500000000000002</v>
      </c>
      <c r="O52">
        <f t="shared" si="26"/>
        <v>1.2</v>
      </c>
      <c r="P52">
        <f t="shared" si="26"/>
        <v>0.95500000000000007</v>
      </c>
      <c r="Q52" s="1"/>
      <c r="R52" s="1">
        <f>$F$28</f>
        <v>7.0000000000000007E-2</v>
      </c>
      <c r="Y52" s="1">
        <v>1</v>
      </c>
      <c r="Z52" s="42"/>
      <c r="AA52" s="43"/>
      <c r="AB52" s="1">
        <f>AB51</f>
        <v>0.15</v>
      </c>
      <c r="AE52" s="26">
        <f t="shared" si="19"/>
        <v>0.95366849262686371</v>
      </c>
    </row>
    <row r="53" spans="1:31" s="64" customFormat="1">
      <c r="B53" s="64" t="s">
        <v>452</v>
      </c>
      <c r="C53" s="39">
        <f t="shared" ref="C53" si="38">PRODUCT($M$25,F53,G53,H53,I53,K53,L53,M53,N53,O53,P53)</f>
        <v>12926565906.662333</v>
      </c>
      <c r="D53" s="39">
        <f t="shared" ref="D53" si="39">PRODUCT($M$25,F53,G53,H53,J53,K53,L53,M53,N53,O53,P53)</f>
        <v>5918966798.9222536</v>
      </c>
      <c r="E53" s="39">
        <f>E52</f>
        <v>30</v>
      </c>
      <c r="F53" s="40">
        <f>$F$71</f>
        <v>26.4</v>
      </c>
      <c r="G53" s="63">
        <v>12</v>
      </c>
      <c r="H53" s="27">
        <v>1</v>
      </c>
      <c r="I53" s="41">
        <f t="shared" si="37"/>
        <v>5.2019122807017544</v>
      </c>
      <c r="J53" s="41">
        <f>$D$25+$E$25+$G$25+Q53+R53+T53+1</f>
        <v>2.3819122807017545</v>
      </c>
      <c r="K53" s="41">
        <f t="shared" ref="K53" si="40">1-$C$31*(1-$I$25)*(1-U53)*(1-V53)*(1-W53)*(1-X53)</f>
        <v>0.86100547788059112</v>
      </c>
      <c r="L53" s="64">
        <f t="shared" ref="L53" si="41">IF($J$25+Y53&gt;=1, 1.35+$K$25, (1.35+$K$25)*($J$25+Y53)+(1-($J$25+Y53)))</f>
        <v>2.0700000000000003</v>
      </c>
      <c r="M53" s="64">
        <f t="shared" ref="M53" si="42">(1+$H$25)*(1+Z53*AA53)*(1+AB53)</f>
        <v>1.4375</v>
      </c>
      <c r="N53" s="64">
        <f t="shared" si="22"/>
        <v>0.52500000000000002</v>
      </c>
      <c r="O53" s="64">
        <f t="shared" si="26"/>
        <v>1.2</v>
      </c>
      <c r="P53" s="64">
        <f t="shared" si="26"/>
        <v>0.95500000000000007</v>
      </c>
      <c r="Q53" s="1"/>
      <c r="R53" s="1">
        <f>$F$28</f>
        <v>7.0000000000000007E-2</v>
      </c>
      <c r="Y53" s="1">
        <v>1</v>
      </c>
      <c r="Z53" s="42"/>
      <c r="AA53" s="43"/>
      <c r="AB53" s="1">
        <f>AB52</f>
        <v>0.15</v>
      </c>
      <c r="AE53" s="26">
        <f t="shared" ref="AE53" si="43">1-(1-$I$25)*(1-U53)*(1-V53)*(1-W53)*(1-X53)</f>
        <v>0.95366849262686371</v>
      </c>
    </row>
    <row r="54" spans="1:31">
      <c r="E54" s="39"/>
      <c r="F54" s="38"/>
      <c r="I54" s="41"/>
      <c r="J54" s="41"/>
    </row>
    <row r="55" spans="1:31">
      <c r="A55" t="s">
        <v>266</v>
      </c>
      <c r="B55" t="s">
        <v>250</v>
      </c>
      <c r="C55" s="39">
        <f>PRODUCT($M$25,F55,G55,H55,I55,K55,L55,M55,N55,O55,P55)</f>
        <v>7042895598.1717844</v>
      </c>
      <c r="D55" s="39">
        <f>PRODUCT($M$25,F55,G55,H55,J55,K55,L55,M55,N55,O55,P55)</f>
        <v>3081052980.2426529</v>
      </c>
      <c r="E55" s="39">
        <f>IF($L$15="ON",31,IF($L$15="OFF",30,30))</f>
        <v>31</v>
      </c>
      <c r="F55" s="1">
        <f>(460+4*(E55-30))%</f>
        <v>4.6399999999999997</v>
      </c>
      <c r="G55">
        <v>7</v>
      </c>
      <c r="H55">
        <f>1+$K$8*0.9</f>
        <v>1.9</v>
      </c>
      <c r="I55" s="41">
        <f t="shared" si="37"/>
        <v>5.7419122807017544</v>
      </c>
      <c r="J55" s="41">
        <f t="shared" si="21"/>
        <v>2.5119122807017544</v>
      </c>
      <c r="K55" s="41">
        <f>1-$C$31*(1-$I$25)*(1-U55)*(1-V55)*(1-W55)*(1-X55)</f>
        <v>0.93555101998367252</v>
      </c>
      <c r="L55">
        <f>IF($J$25+Y55&gt;=1, 1.35+$K$25, (1.35+$K$25)*($J$25+Y55)+(1-($J$25+Y55)))</f>
        <v>2.0700000000000003</v>
      </c>
      <c r="M55">
        <f>(1+$H$25)*(1+Z55*AA55)*(1+AB55)*(1+AC55)</f>
        <v>3.3522499999999997</v>
      </c>
      <c r="N55">
        <f>1-(E31*(1-D28))</f>
        <v>0.52500000000000002</v>
      </c>
      <c r="O55">
        <f>(1+F31)*(1+G31)</f>
        <v>1.2</v>
      </c>
      <c r="P55">
        <f>C28/2+0.5</f>
        <v>0.95500000000000007</v>
      </c>
      <c r="Q55" s="1">
        <v>0.2</v>
      </c>
      <c r="S55" s="1">
        <f>(E55/100+0.1)</f>
        <v>0.41000000000000003</v>
      </c>
      <c r="U55" s="1">
        <f>E55/100</f>
        <v>0.31</v>
      </c>
      <c r="V55" s="1">
        <f>IF(Z55&gt;=40, 20%, 0)</f>
        <v>0.2</v>
      </c>
      <c r="X55" s="1">
        <f>DPM_DB!B21</f>
        <v>0.16</v>
      </c>
      <c r="Y55" s="1">
        <v>1</v>
      </c>
      <c r="Z55">
        <v>60</v>
      </c>
      <c r="AA55" s="1">
        <v>0.02</v>
      </c>
      <c r="AB55" s="1">
        <v>0.15</v>
      </c>
      <c r="AC55" s="1">
        <f>DPM_DB!B22</f>
        <v>0.06</v>
      </c>
      <c r="AE55" s="26">
        <f t="shared" si="19"/>
        <v>0.97851700666122421</v>
      </c>
    </row>
    <row r="56" spans="1:31">
      <c r="B56" t="s">
        <v>251</v>
      </c>
      <c r="C56" s="39">
        <f t="shared" ref="C56:C68" si="44">PRODUCT($M$25,F56,G56,H56,I56,K56,L56,M56,N56,O56,P56)</f>
        <v>5025044272.354929</v>
      </c>
      <c r="D56" s="39">
        <f t="shared" ref="D56:D68" si="45">PRODUCT($M$25,F56,G56,H56,J56,K56,L56,M56,N56,O56,P56)</f>
        <v>2708555771.249115</v>
      </c>
      <c r="E56" s="39"/>
      <c r="F56" s="1">
        <v>6</v>
      </c>
      <c r="G56">
        <v>3</v>
      </c>
      <c r="H56">
        <f t="shared" ref="H56:H68" si="46">1+$K$8*0.9</f>
        <v>1.9</v>
      </c>
      <c r="I56" s="41">
        <f t="shared" si="37"/>
        <v>7.2019122807017544</v>
      </c>
      <c r="J56" s="41">
        <f t="shared" si="21"/>
        <v>3.8819122807017545</v>
      </c>
      <c r="K56" s="41">
        <f t="shared" ref="K56:K68" si="47">1-$C$31*(1-$I$25)*(1-U56)*(1-V56)*(1-W56)*(1-X56)</f>
        <v>0.96030316448269681</v>
      </c>
      <c r="L56">
        <f t="shared" ref="L56:L68" si="48">IF($J$25+Y56&gt;=1, 1.35+$K$25, (1.35+$K$25)*($J$25+Y56)+(1-($J$25+Y56)))</f>
        <v>2.0700000000000003</v>
      </c>
      <c r="M56">
        <f t="shared" ref="M56:M68" si="49">(1+$H$25)*(1+Z56*AA56)*(1+AB56)*(1+AC56)</f>
        <v>3.3522499999999997</v>
      </c>
      <c r="N56">
        <f>N55</f>
        <v>0.52500000000000002</v>
      </c>
      <c r="O56">
        <f>O55</f>
        <v>1.2</v>
      </c>
      <c r="P56">
        <f>P55</f>
        <v>0.95500000000000007</v>
      </c>
      <c r="Q56" s="1">
        <v>1.5</v>
      </c>
      <c r="R56" s="1">
        <f>$F$28</f>
        <v>7.0000000000000007E-2</v>
      </c>
      <c r="S56" s="1">
        <v>0.5</v>
      </c>
      <c r="U56" s="1">
        <v>0.5</v>
      </c>
      <c r="V56" s="1">
        <f t="shared" ref="V56:V67" si="50">IF(Z56&gt;=40, 20%, 0)</f>
        <v>0.2</v>
      </c>
      <c r="W56" s="1">
        <v>0.15</v>
      </c>
      <c r="X56" s="1">
        <f t="shared" ref="X56:X68" si="51">X55</f>
        <v>0.16</v>
      </c>
      <c r="Y56" s="1">
        <v>1</v>
      </c>
      <c r="Z56">
        <v>60</v>
      </c>
      <c r="AA56" s="1">
        <v>0.02</v>
      </c>
      <c r="AB56" s="1">
        <f t="shared" ref="AB56:AB66" si="52">AB55</f>
        <v>0.15</v>
      </c>
      <c r="AC56" s="1">
        <f t="shared" ref="AC56:AC66" si="53">AC55</f>
        <v>0.06</v>
      </c>
      <c r="AE56" s="26">
        <f t="shared" si="19"/>
        <v>0.98676772149423231</v>
      </c>
    </row>
    <row r="57" spans="1:31">
      <c r="B57" t="s">
        <v>252</v>
      </c>
      <c r="C57" s="39">
        <f t="shared" si="44"/>
        <v>5025044272.354929</v>
      </c>
      <c r="D57" s="39">
        <f t="shared" si="45"/>
        <v>2708555771.249115</v>
      </c>
      <c r="E57" s="39"/>
      <c r="F57" s="1">
        <v>6</v>
      </c>
      <c r="G57">
        <v>3</v>
      </c>
      <c r="H57">
        <f t="shared" si="46"/>
        <v>1.9</v>
      </c>
      <c r="I57" s="41">
        <f t="shared" si="37"/>
        <v>7.2019122807017544</v>
      </c>
      <c r="J57" s="41">
        <f t="shared" si="21"/>
        <v>3.8819122807017545</v>
      </c>
      <c r="K57" s="41">
        <f t="shared" si="47"/>
        <v>0.96030316448269681</v>
      </c>
      <c r="L57">
        <f t="shared" si="48"/>
        <v>2.0700000000000003</v>
      </c>
      <c r="M57">
        <f t="shared" si="49"/>
        <v>3.3522499999999997</v>
      </c>
      <c r="N57">
        <f t="shared" ref="N57:P72" si="54">N56</f>
        <v>0.52500000000000002</v>
      </c>
      <c r="O57">
        <f t="shared" ref="O57:O64" si="55">O56</f>
        <v>1.2</v>
      </c>
      <c r="P57">
        <f t="shared" ref="P57:P64" si="56">P56</f>
        <v>0.95500000000000007</v>
      </c>
      <c r="Q57" s="1">
        <v>1.5</v>
      </c>
      <c r="R57" s="1">
        <f>$F$28</f>
        <v>7.0000000000000007E-2</v>
      </c>
      <c r="S57" s="1">
        <v>0.5</v>
      </c>
      <c r="U57" s="1">
        <v>0.5</v>
      </c>
      <c r="V57" s="1">
        <f t="shared" si="50"/>
        <v>0.2</v>
      </c>
      <c r="W57" s="1">
        <f>W56</f>
        <v>0.15</v>
      </c>
      <c r="X57" s="1">
        <f t="shared" si="51"/>
        <v>0.16</v>
      </c>
      <c r="Y57" s="1">
        <f t="shared" ref="Y57:AA59" si="57">Y56</f>
        <v>1</v>
      </c>
      <c r="Z57" s="42">
        <f t="shared" si="57"/>
        <v>60</v>
      </c>
      <c r="AA57" s="43">
        <f t="shared" si="57"/>
        <v>0.02</v>
      </c>
      <c r="AB57" s="1">
        <f t="shared" si="52"/>
        <v>0.15</v>
      </c>
      <c r="AC57" s="1">
        <f t="shared" si="53"/>
        <v>0.06</v>
      </c>
      <c r="AE57" s="26">
        <f t="shared" si="19"/>
        <v>0.98676772149423231</v>
      </c>
    </row>
    <row r="58" spans="1:31">
      <c r="B58" t="s">
        <v>253</v>
      </c>
      <c r="C58" s="39">
        <f t="shared" si="44"/>
        <v>5862551651.0807486</v>
      </c>
      <c r="D58" s="39">
        <f t="shared" si="45"/>
        <v>3159981733.1239662</v>
      </c>
      <c r="E58" s="39"/>
      <c r="F58" s="1">
        <v>7</v>
      </c>
      <c r="G58">
        <v>3</v>
      </c>
      <c r="H58">
        <f t="shared" si="46"/>
        <v>1.9</v>
      </c>
      <c r="I58" s="41">
        <f t="shared" si="37"/>
        <v>7.2019122807017544</v>
      </c>
      <c r="J58" s="41">
        <f t="shared" si="21"/>
        <v>3.8819122807017545</v>
      </c>
      <c r="K58" s="41">
        <f t="shared" si="47"/>
        <v>0.96030316448269681</v>
      </c>
      <c r="L58">
        <f t="shared" si="48"/>
        <v>2.0700000000000003</v>
      </c>
      <c r="M58">
        <f t="shared" si="49"/>
        <v>3.3522499999999997</v>
      </c>
      <c r="N58">
        <f t="shared" si="54"/>
        <v>0.52500000000000002</v>
      </c>
      <c r="O58">
        <f t="shared" si="55"/>
        <v>1.2</v>
      </c>
      <c r="P58">
        <f t="shared" si="56"/>
        <v>0.95500000000000007</v>
      </c>
      <c r="Q58" s="1">
        <v>1.5</v>
      </c>
      <c r="R58" s="1">
        <f>$F$28</f>
        <v>7.0000000000000007E-2</v>
      </c>
      <c r="S58" s="1">
        <v>0.5</v>
      </c>
      <c r="U58" s="1">
        <v>0.5</v>
      </c>
      <c r="V58" s="1">
        <f t="shared" si="50"/>
        <v>0.2</v>
      </c>
      <c r="W58" s="1">
        <f>W57</f>
        <v>0.15</v>
      </c>
      <c r="X58" s="1">
        <f t="shared" si="51"/>
        <v>0.16</v>
      </c>
      <c r="Y58" s="1">
        <f t="shared" si="57"/>
        <v>1</v>
      </c>
      <c r="Z58" s="42">
        <f t="shared" si="57"/>
        <v>60</v>
      </c>
      <c r="AA58" s="43">
        <f t="shared" si="57"/>
        <v>0.02</v>
      </c>
      <c r="AB58" s="1">
        <f t="shared" si="52"/>
        <v>0.15</v>
      </c>
      <c r="AC58" s="1">
        <f t="shared" si="53"/>
        <v>0.06</v>
      </c>
      <c r="AE58" s="26">
        <f t="shared" si="19"/>
        <v>0.98676772149423231</v>
      </c>
    </row>
    <row r="59" spans="1:31">
      <c r="B59" t="s">
        <v>254</v>
      </c>
      <c r="C59" s="39">
        <f t="shared" si="44"/>
        <v>6700059029.806571</v>
      </c>
      <c r="D59" s="39">
        <f t="shared" si="45"/>
        <v>3611407694.9988194</v>
      </c>
      <c r="E59" s="39"/>
      <c r="F59" s="1">
        <v>8</v>
      </c>
      <c r="G59">
        <v>3</v>
      </c>
      <c r="H59">
        <f t="shared" si="46"/>
        <v>1.9</v>
      </c>
      <c r="I59" s="41">
        <f t="shared" si="37"/>
        <v>7.2019122807017544</v>
      </c>
      <c r="J59" s="41">
        <f t="shared" si="21"/>
        <v>3.8819122807017545</v>
      </c>
      <c r="K59" s="41">
        <f t="shared" si="47"/>
        <v>0.96030316448269681</v>
      </c>
      <c r="L59">
        <f t="shared" si="48"/>
        <v>2.0700000000000003</v>
      </c>
      <c r="M59">
        <f t="shared" si="49"/>
        <v>3.3522499999999997</v>
      </c>
      <c r="N59">
        <f t="shared" si="54"/>
        <v>0.52500000000000002</v>
      </c>
      <c r="O59">
        <f t="shared" si="55"/>
        <v>1.2</v>
      </c>
      <c r="P59">
        <f t="shared" si="56"/>
        <v>0.95500000000000007</v>
      </c>
      <c r="Q59" s="1">
        <v>1.5</v>
      </c>
      <c r="R59" s="1">
        <f>$F$28</f>
        <v>7.0000000000000007E-2</v>
      </c>
      <c r="S59" s="1">
        <v>0.5</v>
      </c>
      <c r="U59" s="1">
        <v>0.5</v>
      </c>
      <c r="V59" s="1">
        <f t="shared" si="50"/>
        <v>0.2</v>
      </c>
      <c r="W59" s="1">
        <f>W58</f>
        <v>0.15</v>
      </c>
      <c r="X59" s="1">
        <f t="shared" si="51"/>
        <v>0.16</v>
      </c>
      <c r="Y59" s="1">
        <f t="shared" si="57"/>
        <v>1</v>
      </c>
      <c r="Z59" s="42">
        <f t="shared" si="57"/>
        <v>60</v>
      </c>
      <c r="AA59" s="43">
        <f t="shared" si="57"/>
        <v>0.02</v>
      </c>
      <c r="AB59" s="1">
        <f t="shared" si="52"/>
        <v>0.15</v>
      </c>
      <c r="AC59" s="1">
        <f t="shared" si="53"/>
        <v>0.06</v>
      </c>
      <c r="AE59" s="26">
        <f t="shared" si="19"/>
        <v>0.98676772149423231</v>
      </c>
    </row>
    <row r="60" spans="1:31">
      <c r="B60" t="s">
        <v>255</v>
      </c>
      <c r="C60" s="39">
        <f t="shared" si="44"/>
        <v>5967657032.7829704</v>
      </c>
      <c r="D60" s="39">
        <f t="shared" si="45"/>
        <v>2492924281.1242495</v>
      </c>
      <c r="E60" s="39"/>
      <c r="F60" s="1">
        <v>4.5</v>
      </c>
      <c r="G60">
        <v>6</v>
      </c>
      <c r="H60">
        <f t="shared" si="46"/>
        <v>1.9</v>
      </c>
      <c r="I60" s="41">
        <f t="shared" ref="I60:I72" si="58">$D$25+$F$25+$G$25+Q60+R60+S60+1</f>
        <v>5.7019122807017544</v>
      </c>
      <c r="J60" s="41">
        <f t="shared" si="21"/>
        <v>2.3819122807017545</v>
      </c>
      <c r="K60" s="41">
        <f t="shared" si="47"/>
        <v>0.96030316448269681</v>
      </c>
      <c r="L60">
        <f t="shared" si="48"/>
        <v>2.0700000000000003</v>
      </c>
      <c r="M60">
        <f t="shared" si="49"/>
        <v>3.3522499999999997</v>
      </c>
      <c r="N60">
        <f t="shared" si="54"/>
        <v>0.52500000000000002</v>
      </c>
      <c r="O60">
        <f t="shared" si="55"/>
        <v>1.2</v>
      </c>
      <c r="P60">
        <f t="shared" si="56"/>
        <v>0.95500000000000007</v>
      </c>
      <c r="R60" s="1">
        <f>$F$28</f>
        <v>7.0000000000000007E-2</v>
      </c>
      <c r="S60" s="1">
        <v>0.5</v>
      </c>
      <c r="U60" s="1">
        <v>0.5</v>
      </c>
      <c r="V60" s="1">
        <f t="shared" si="50"/>
        <v>0.2</v>
      </c>
      <c r="W60" s="1">
        <f>W59</f>
        <v>0.15</v>
      </c>
      <c r="X60" s="1">
        <f t="shared" si="51"/>
        <v>0.16</v>
      </c>
      <c r="Y60" s="1">
        <f>Y59</f>
        <v>1</v>
      </c>
      <c r="Z60">
        <v>60</v>
      </c>
      <c r="AA60" s="1">
        <v>0.02</v>
      </c>
      <c r="AB60" s="1">
        <f t="shared" si="52"/>
        <v>0.15</v>
      </c>
      <c r="AC60" s="1">
        <f t="shared" si="53"/>
        <v>0.06</v>
      </c>
      <c r="AE60" s="26">
        <f t="shared" si="19"/>
        <v>0.98676772149423231</v>
      </c>
    </row>
    <row r="61" spans="1:31">
      <c r="B61" t="s">
        <v>256</v>
      </c>
      <c r="C61" s="39">
        <f t="shared" si="44"/>
        <v>4581049076.0821915</v>
      </c>
      <c r="D61" s="39">
        <f t="shared" si="45"/>
        <v>1880530642.1022906</v>
      </c>
      <c r="E61" s="39">
        <v>1</v>
      </c>
      <c r="F61" s="1">
        <v>4.5</v>
      </c>
      <c r="G61">
        <v>6</v>
      </c>
      <c r="H61">
        <f t="shared" si="46"/>
        <v>1.9</v>
      </c>
      <c r="I61" s="41">
        <f t="shared" si="58"/>
        <v>5.6319122807017541</v>
      </c>
      <c r="J61" s="41">
        <f t="shared" si="21"/>
        <v>2.3119122807017547</v>
      </c>
      <c r="K61" s="41">
        <f t="shared" si="47"/>
        <v>0.95329784056787858</v>
      </c>
      <c r="L61">
        <f t="shared" si="48"/>
        <v>1.6206</v>
      </c>
      <c r="M61">
        <f t="shared" si="49"/>
        <v>3.3522499999999997</v>
      </c>
      <c r="N61">
        <f t="shared" si="54"/>
        <v>0.52500000000000002</v>
      </c>
      <c r="O61">
        <f t="shared" si="55"/>
        <v>1.2</v>
      </c>
      <c r="P61">
        <f t="shared" si="56"/>
        <v>0.95500000000000007</v>
      </c>
      <c r="S61" s="1">
        <v>0.5</v>
      </c>
      <c r="U61" s="1">
        <v>0.5</v>
      </c>
      <c r="V61" s="1">
        <f t="shared" si="50"/>
        <v>0.2</v>
      </c>
      <c r="X61" s="1">
        <f t="shared" si="51"/>
        <v>0.16</v>
      </c>
      <c r="Y61" s="1">
        <v>0.15</v>
      </c>
      <c r="Z61" s="42">
        <f>Z60</f>
        <v>60</v>
      </c>
      <c r="AA61" s="43">
        <f>AA60</f>
        <v>0.02</v>
      </c>
      <c r="AB61" s="1">
        <f t="shared" si="52"/>
        <v>0.15</v>
      </c>
      <c r="AC61" s="1">
        <f t="shared" si="53"/>
        <v>0.06</v>
      </c>
      <c r="AE61" s="26">
        <f t="shared" si="19"/>
        <v>0.98443261352262623</v>
      </c>
    </row>
    <row r="62" spans="1:31">
      <c r="B62" t="s">
        <v>257</v>
      </c>
      <c r="C62" s="39">
        <f t="shared" si="44"/>
        <v>492933530.70515788</v>
      </c>
      <c r="D62" s="39">
        <f t="shared" si="45"/>
        <v>225710155.61183164</v>
      </c>
      <c r="E62" s="39">
        <f>IF($L$15="ON",31,IF($L$15="OFF",30,30))</f>
        <v>31</v>
      </c>
      <c r="F62" s="1">
        <f>250%+5*(E62-30)%</f>
        <v>2.5499999999999998</v>
      </c>
      <c r="G62">
        <v>1</v>
      </c>
      <c r="H62">
        <f t="shared" si="46"/>
        <v>1.9</v>
      </c>
      <c r="I62" s="41">
        <f t="shared" si="58"/>
        <v>5.2019122807017544</v>
      </c>
      <c r="J62" s="41">
        <f t="shared" si="21"/>
        <v>2.3819122807017545</v>
      </c>
      <c r="K62" s="41">
        <f t="shared" si="47"/>
        <v>0.92060632896539363</v>
      </c>
      <c r="L62">
        <f t="shared" si="48"/>
        <v>2.0700000000000003</v>
      </c>
      <c r="M62">
        <f t="shared" si="49"/>
        <v>3.3522499999999997</v>
      </c>
      <c r="N62">
        <f t="shared" si="54"/>
        <v>0.52500000000000002</v>
      </c>
      <c r="O62">
        <f t="shared" si="55"/>
        <v>1.2</v>
      </c>
      <c r="P62">
        <f t="shared" si="56"/>
        <v>0.95500000000000007</v>
      </c>
      <c r="R62" s="1">
        <f>$F$28</f>
        <v>7.0000000000000007E-2</v>
      </c>
      <c r="V62" s="1">
        <f t="shared" si="50"/>
        <v>0.2</v>
      </c>
      <c r="W62" s="1">
        <f>W60</f>
        <v>0.15</v>
      </c>
      <c r="X62" s="1">
        <f t="shared" si="51"/>
        <v>0.16</v>
      </c>
      <c r="Y62" s="1">
        <f>Y60</f>
        <v>1</v>
      </c>
      <c r="Z62">
        <v>60</v>
      </c>
      <c r="AA62" s="1">
        <v>0.02</v>
      </c>
      <c r="AB62" s="1">
        <f t="shared" si="52"/>
        <v>0.15</v>
      </c>
      <c r="AC62" s="1">
        <f t="shared" si="53"/>
        <v>0.06</v>
      </c>
      <c r="AE62" s="26">
        <f t="shared" si="19"/>
        <v>0.97353544298846451</v>
      </c>
    </row>
    <row r="63" spans="1:31">
      <c r="B63" t="s">
        <v>258</v>
      </c>
      <c r="C63" s="39">
        <f t="shared" si="44"/>
        <v>374929609.66402662</v>
      </c>
      <c r="D63" s="39">
        <f t="shared" si="45"/>
        <v>168904751.59533492</v>
      </c>
      <c r="E63" s="39">
        <f>IF($L$15="ON",31,IF($L$15="OFF",30,30))</f>
        <v>31</v>
      </c>
      <c r="F63" s="1">
        <f>F62</f>
        <v>2.5499999999999998</v>
      </c>
      <c r="G63">
        <v>1</v>
      </c>
      <c r="H63">
        <f t="shared" si="46"/>
        <v>1.9</v>
      </c>
      <c r="I63" s="41">
        <f t="shared" si="58"/>
        <v>5.1319122807017541</v>
      </c>
      <c r="J63" s="41">
        <f t="shared" si="21"/>
        <v>2.3119122807017547</v>
      </c>
      <c r="K63" s="41">
        <f t="shared" si="47"/>
        <v>0.90659568113575728</v>
      </c>
      <c r="L63">
        <f t="shared" si="48"/>
        <v>1.6206</v>
      </c>
      <c r="M63">
        <f t="shared" si="49"/>
        <v>3.3522499999999997</v>
      </c>
      <c r="N63">
        <f t="shared" si="54"/>
        <v>0.52500000000000002</v>
      </c>
      <c r="O63">
        <f t="shared" si="55"/>
        <v>1.2</v>
      </c>
      <c r="P63">
        <f t="shared" si="56"/>
        <v>0.95500000000000007</v>
      </c>
      <c r="V63" s="1">
        <f t="shared" si="50"/>
        <v>0.2</v>
      </c>
      <c r="X63" s="1">
        <f t="shared" si="51"/>
        <v>0.16</v>
      </c>
      <c r="Y63" s="1">
        <v>0.15</v>
      </c>
      <c r="Z63" s="42">
        <f>Z62</f>
        <v>60</v>
      </c>
      <c r="AA63" s="43">
        <f>AA62</f>
        <v>0.02</v>
      </c>
      <c r="AB63" s="1">
        <f t="shared" si="52"/>
        <v>0.15</v>
      </c>
      <c r="AC63" s="1">
        <f t="shared" si="53"/>
        <v>0.06</v>
      </c>
      <c r="AE63" s="26">
        <f t="shared" si="19"/>
        <v>0.96886522704525246</v>
      </c>
    </row>
    <row r="64" spans="1:31">
      <c r="B64" t="s">
        <v>259</v>
      </c>
      <c r="C64" s="39">
        <f t="shared" si="44"/>
        <v>7036384516.7324524</v>
      </c>
      <c r="D64" s="39">
        <f t="shared" si="45"/>
        <v>3221901829.1257539</v>
      </c>
      <c r="E64" s="39">
        <f>IF($L$15="ON",31,IF($L$15="OFF",30,30))</f>
        <v>31</v>
      </c>
      <c r="F64" s="1">
        <f>515%+5*(E64-30)%</f>
        <v>5.2</v>
      </c>
      <c r="G64">
        <v>7</v>
      </c>
      <c r="H64">
        <f t="shared" si="46"/>
        <v>1.9</v>
      </c>
      <c r="I64" s="41">
        <f t="shared" si="58"/>
        <v>5.2019122807017544</v>
      </c>
      <c r="J64" s="41">
        <f t="shared" si="21"/>
        <v>2.3819122807017545</v>
      </c>
      <c r="K64" s="41">
        <f t="shared" si="47"/>
        <v>0.92060632896539363</v>
      </c>
      <c r="L64">
        <f t="shared" si="48"/>
        <v>2.0700000000000003</v>
      </c>
      <c r="M64">
        <f t="shared" si="49"/>
        <v>3.3522499999999997</v>
      </c>
      <c r="N64">
        <f t="shared" si="54"/>
        <v>0.52500000000000002</v>
      </c>
      <c r="O64">
        <f t="shared" si="55"/>
        <v>1.2</v>
      </c>
      <c r="P64">
        <f t="shared" si="56"/>
        <v>0.95500000000000007</v>
      </c>
      <c r="R64" s="1">
        <f>$F$28</f>
        <v>7.0000000000000007E-2</v>
      </c>
      <c r="V64" s="1">
        <f t="shared" si="50"/>
        <v>0.2</v>
      </c>
      <c r="W64" s="1">
        <f>W62</f>
        <v>0.15</v>
      </c>
      <c r="X64" s="1">
        <f t="shared" si="51"/>
        <v>0.16</v>
      </c>
      <c r="Y64" s="1">
        <f>Y62</f>
        <v>1</v>
      </c>
      <c r="Z64">
        <v>60</v>
      </c>
      <c r="AA64" s="1">
        <v>0.02</v>
      </c>
      <c r="AB64" s="1">
        <f t="shared" si="52"/>
        <v>0.15</v>
      </c>
      <c r="AC64" s="1">
        <f t="shared" si="53"/>
        <v>0.06</v>
      </c>
      <c r="AE64" s="26">
        <f t="shared" si="19"/>
        <v>0.97353544298846451</v>
      </c>
    </row>
    <row r="65" spans="1:31">
      <c r="B65" t="s">
        <v>260</v>
      </c>
      <c r="C65" s="39">
        <f t="shared" si="44"/>
        <v>139518891030.681</v>
      </c>
      <c r="D65" s="39">
        <f t="shared" si="45"/>
        <v>62852874312.889473</v>
      </c>
      <c r="E65" s="39">
        <f>E48</f>
        <v>30</v>
      </c>
      <c r="F65" s="38">
        <f>DPM_DB!B5</f>
        <v>2989.7999999999997</v>
      </c>
      <c r="G65" s="42">
        <v>1</v>
      </c>
      <c r="H65" s="27">
        <v>1</v>
      </c>
      <c r="I65" s="41">
        <f t="shared" si="58"/>
        <v>5.1319122807017541</v>
      </c>
      <c r="J65" s="41">
        <f t="shared" si="21"/>
        <v>2.3119122807017547</v>
      </c>
      <c r="K65" s="41">
        <f t="shared" si="47"/>
        <v>0.94162230070984831</v>
      </c>
      <c r="L65">
        <f t="shared" si="48"/>
        <v>2.0700000000000003</v>
      </c>
      <c r="M65">
        <f t="shared" si="49"/>
        <v>1.5237500000000002</v>
      </c>
      <c r="N65">
        <f t="shared" si="54"/>
        <v>0.52500000000000002</v>
      </c>
      <c r="O65">
        <f t="shared" ref="O65:P68" si="59">O64</f>
        <v>1.2</v>
      </c>
      <c r="P65">
        <f t="shared" si="59"/>
        <v>0.95500000000000007</v>
      </c>
      <c r="U65" s="1">
        <v>0.5</v>
      </c>
      <c r="V65" s="1">
        <f t="shared" si="50"/>
        <v>0</v>
      </c>
      <c r="W65" s="1"/>
      <c r="X65" s="1">
        <f t="shared" si="51"/>
        <v>0.16</v>
      </c>
      <c r="Y65" s="1">
        <v>1</v>
      </c>
      <c r="AB65" s="1">
        <f t="shared" si="52"/>
        <v>0.15</v>
      </c>
      <c r="AC65" s="1">
        <f t="shared" si="53"/>
        <v>0.06</v>
      </c>
      <c r="AE65" s="26">
        <f t="shared" si="19"/>
        <v>0.98054076690328273</v>
      </c>
    </row>
    <row r="66" spans="1:31">
      <c r="B66" t="s">
        <v>261</v>
      </c>
      <c r="C66" s="39">
        <f t="shared" ref="C66" si="60">PRODUCT($M$25,F66,G66,H66,I66,K66,L66,M66,N66,O66,P66)</f>
        <v>142737107343.8573</v>
      </c>
      <c r="D66" s="39">
        <f t="shared" ref="D66" si="61">PRODUCT($M$25,F66,G66,H66,J66,K66,L66,M66,N66,O66,P66)</f>
        <v>65358131884.590897</v>
      </c>
      <c r="E66" s="39">
        <f>E65</f>
        <v>30</v>
      </c>
      <c r="F66" s="38">
        <f>DPM_DB!B5</f>
        <v>2989.7999999999997</v>
      </c>
      <c r="G66" s="42">
        <v>1</v>
      </c>
      <c r="H66" s="27">
        <v>1</v>
      </c>
      <c r="I66" s="41">
        <f t="shared" si="58"/>
        <v>5.2019122807017544</v>
      </c>
      <c r="J66" s="41">
        <f t="shared" si="21"/>
        <v>2.3819122807017545</v>
      </c>
      <c r="K66" s="41">
        <f t="shared" ref="K66" si="62">1-$C$31*(1-$I$25)*(1-U66)*(1-V66)*(1-W66)*(1-X66)</f>
        <v>0.95037895560337105</v>
      </c>
      <c r="L66">
        <f t="shared" ref="L66" si="63">IF($J$25+Y66&gt;=1, 1.35+$K$25, (1.35+$K$25)*($J$25+Y66)+(1-($J$25+Y66)))</f>
        <v>2.0700000000000003</v>
      </c>
      <c r="M66">
        <f t="shared" si="49"/>
        <v>1.5237500000000002</v>
      </c>
      <c r="N66">
        <f t="shared" si="54"/>
        <v>0.52500000000000002</v>
      </c>
      <c r="O66">
        <f t="shared" si="59"/>
        <v>1.2</v>
      </c>
      <c r="P66">
        <f t="shared" si="59"/>
        <v>0.95500000000000007</v>
      </c>
      <c r="R66" s="1">
        <f>$F$28</f>
        <v>7.0000000000000007E-2</v>
      </c>
      <c r="U66" s="1">
        <v>0.5</v>
      </c>
      <c r="V66" s="1">
        <f t="shared" ref="V66" si="64">IF(Z66&gt;=40, 20%, 0)</f>
        <v>0</v>
      </c>
      <c r="W66" s="1">
        <v>0.15</v>
      </c>
      <c r="X66" s="1">
        <f t="shared" si="51"/>
        <v>0.16</v>
      </c>
      <c r="Y66" s="1">
        <v>2</v>
      </c>
      <c r="AB66" s="1">
        <f t="shared" si="52"/>
        <v>0.15</v>
      </c>
      <c r="AC66" s="1">
        <f t="shared" si="53"/>
        <v>0.06</v>
      </c>
      <c r="AE66" s="26">
        <f t="shared" si="19"/>
        <v>0.98345965186779039</v>
      </c>
    </row>
    <row r="67" spans="1:31">
      <c r="B67" t="s">
        <v>262</v>
      </c>
      <c r="C67" s="39">
        <f t="shared" si="44"/>
        <v>218674508822.59811</v>
      </c>
      <c r="D67" s="39">
        <f t="shared" si="45"/>
        <v>100129235160.94058</v>
      </c>
      <c r="E67" s="39">
        <f>E49</f>
        <v>30</v>
      </c>
      <c r="F67" s="38">
        <f>DPM_DB!B11</f>
        <v>4580.3999999999996</v>
      </c>
      <c r="G67" s="42">
        <v>1</v>
      </c>
      <c r="H67" s="27">
        <v>1</v>
      </c>
      <c r="I67" s="41">
        <f t="shared" si="58"/>
        <v>5.2019122807017544</v>
      </c>
      <c r="J67" s="41">
        <f t="shared" si="21"/>
        <v>2.3819122807017545</v>
      </c>
      <c r="K67" s="41">
        <f t="shared" si="47"/>
        <v>0.95037895560337105</v>
      </c>
      <c r="L67">
        <f t="shared" si="48"/>
        <v>2.0700000000000003</v>
      </c>
      <c r="M67">
        <f t="shared" si="49"/>
        <v>1.5237500000000002</v>
      </c>
      <c r="N67">
        <f t="shared" si="54"/>
        <v>0.52500000000000002</v>
      </c>
      <c r="O67">
        <f t="shared" si="59"/>
        <v>1.2</v>
      </c>
      <c r="P67">
        <f t="shared" si="59"/>
        <v>0.95500000000000007</v>
      </c>
      <c r="R67" s="1">
        <f>$F$28</f>
        <v>7.0000000000000007E-2</v>
      </c>
      <c r="U67" s="1">
        <v>0.5</v>
      </c>
      <c r="V67" s="1">
        <f t="shared" si="50"/>
        <v>0</v>
      </c>
      <c r="W67" s="1">
        <f>IF($L$7="ON", 15%, 0)</f>
        <v>0.15</v>
      </c>
      <c r="X67" s="1">
        <f t="shared" si="51"/>
        <v>0.16</v>
      </c>
      <c r="Y67" s="1">
        <v>1</v>
      </c>
      <c r="AB67" s="1">
        <f t="shared" ref="AB67:AC72" si="65">AB66</f>
        <v>0.15</v>
      </c>
      <c r="AC67" s="1">
        <f t="shared" si="65"/>
        <v>0.06</v>
      </c>
      <c r="AE67" s="26">
        <f t="shared" si="19"/>
        <v>0.98345965186779039</v>
      </c>
    </row>
    <row r="68" spans="1:31">
      <c r="B68" t="s">
        <v>263</v>
      </c>
      <c r="C68" s="39">
        <f t="shared" si="44"/>
        <v>542344335.3763243</v>
      </c>
      <c r="D68" s="39">
        <f t="shared" si="45"/>
        <v>369175606.20958579</v>
      </c>
      <c r="E68" s="39">
        <v>10</v>
      </c>
      <c r="F68" s="40">
        <v>1.1000000000000001</v>
      </c>
      <c r="G68">
        <v>2</v>
      </c>
      <c r="H68">
        <f t="shared" si="46"/>
        <v>1.9</v>
      </c>
      <c r="I68" s="41">
        <f t="shared" si="58"/>
        <v>8.8319122807017543</v>
      </c>
      <c r="J68" s="41">
        <f t="shared" si="21"/>
        <v>6.0119122807017549</v>
      </c>
      <c r="K68" s="41">
        <f t="shared" si="47"/>
        <v>0.88324460141969652</v>
      </c>
      <c r="L68">
        <f t="shared" si="48"/>
        <v>1.6206</v>
      </c>
      <c r="M68">
        <f t="shared" si="49"/>
        <v>3.3522499999999997</v>
      </c>
      <c r="N68">
        <f t="shared" si="54"/>
        <v>0.52500000000000002</v>
      </c>
      <c r="O68">
        <f t="shared" si="59"/>
        <v>1.2</v>
      </c>
      <c r="P68">
        <f t="shared" si="59"/>
        <v>0.95500000000000007</v>
      </c>
      <c r="Q68" s="1">
        <v>3.7</v>
      </c>
      <c r="R68" s="1"/>
      <c r="X68" s="1">
        <f t="shared" si="51"/>
        <v>0.16</v>
      </c>
      <c r="Y68" s="1">
        <v>0.15</v>
      </c>
      <c r="Z68" s="42">
        <f>Z56</f>
        <v>60</v>
      </c>
      <c r="AA68" s="43">
        <v>0.02</v>
      </c>
      <c r="AB68" s="1">
        <f t="shared" si="65"/>
        <v>0.15</v>
      </c>
      <c r="AC68" s="1">
        <f t="shared" si="65"/>
        <v>0.06</v>
      </c>
      <c r="AE68" s="26">
        <f t="shared" si="19"/>
        <v>0.96108153380656547</v>
      </c>
    </row>
    <row r="69" spans="1:31">
      <c r="B69" t="s">
        <v>264</v>
      </c>
      <c r="C69" s="39">
        <f t="shared" ref="C69:C70" si="66">PRODUCT($M$25,F69,G69,H69,I69,K69,L69,M69,N69,O69,P69)</f>
        <v>38449746445.467606</v>
      </c>
      <c r="D69" s="39">
        <f t="shared" ref="D69:D70" si="67">PRODUCT($M$25,F69,G69,H69,J69,K69,L69,M69,N69,O69,P69)</f>
        <v>17321504370.099987</v>
      </c>
      <c r="E69" s="39">
        <f>E51</f>
        <v>30</v>
      </c>
      <c r="F69" s="40">
        <f>F52</f>
        <v>1122</v>
      </c>
      <c r="G69" s="42">
        <v>1</v>
      </c>
      <c r="H69" s="27">
        <v>1</v>
      </c>
      <c r="I69" s="41">
        <f t="shared" si="58"/>
        <v>5.1319122807017541</v>
      </c>
      <c r="J69" s="41">
        <f t="shared" si="21"/>
        <v>2.3119122807017547</v>
      </c>
      <c r="K69" s="41">
        <f t="shared" ref="K69:K70" si="68">1-$C$31*(1-$I$25)*(1-U69)*(1-V69)*(1-W69)*(1-X69)</f>
        <v>0.88324460141969652</v>
      </c>
      <c r="L69">
        <f t="shared" ref="L69:L70" si="69">IF($J$25+Y69&gt;=1, 1.35+$K$25, (1.35+$K$25)*($J$25+Y69)+(1-($J$25+Y69)))</f>
        <v>1.6206</v>
      </c>
      <c r="M69">
        <f t="shared" ref="M69:M70" si="70">(1+$H$25)*(1+Z69*AA69)*(1+AB69)*(1+AC69)</f>
        <v>1.5237500000000002</v>
      </c>
      <c r="N69">
        <f t="shared" si="54"/>
        <v>0.52500000000000002</v>
      </c>
      <c r="O69">
        <f t="shared" si="54"/>
        <v>1.2</v>
      </c>
      <c r="P69">
        <f t="shared" si="54"/>
        <v>0.95500000000000007</v>
      </c>
      <c r="Q69" s="1"/>
      <c r="R69" s="1"/>
      <c r="X69" s="1">
        <f>X68</f>
        <v>0.16</v>
      </c>
      <c r="Y69" s="1">
        <v>0.15</v>
      </c>
      <c r="Z69" s="42"/>
      <c r="AA69" s="43"/>
      <c r="AB69" s="1">
        <f t="shared" si="65"/>
        <v>0.15</v>
      </c>
      <c r="AC69" s="1">
        <f t="shared" si="65"/>
        <v>0.06</v>
      </c>
      <c r="AE69" s="26">
        <f t="shared" si="19"/>
        <v>0.96108153380656547</v>
      </c>
    </row>
    <row r="70" spans="1:31">
      <c r="B70" t="s">
        <v>265</v>
      </c>
      <c r="C70" s="39">
        <f t="shared" si="66"/>
        <v>50769032208.398117</v>
      </c>
      <c r="D70" s="39">
        <f t="shared" si="67"/>
        <v>23246716740.139442</v>
      </c>
      <c r="E70" s="39">
        <f>E51</f>
        <v>30</v>
      </c>
      <c r="F70" s="40">
        <f>F52</f>
        <v>1122</v>
      </c>
      <c r="G70" s="42">
        <v>1</v>
      </c>
      <c r="H70" s="27">
        <v>1</v>
      </c>
      <c r="I70" s="41">
        <f t="shared" si="58"/>
        <v>5.2019122807017544</v>
      </c>
      <c r="J70" s="41">
        <f t="shared" si="21"/>
        <v>2.3819122807017545</v>
      </c>
      <c r="K70" s="41">
        <f t="shared" si="68"/>
        <v>0.90075791120674209</v>
      </c>
      <c r="L70">
        <f t="shared" si="69"/>
        <v>2.0700000000000003</v>
      </c>
      <c r="M70">
        <f t="shared" si="70"/>
        <v>1.5237500000000002</v>
      </c>
      <c r="N70">
        <f t="shared" si="54"/>
        <v>0.52500000000000002</v>
      </c>
      <c r="O70">
        <f t="shared" si="54"/>
        <v>1.2</v>
      </c>
      <c r="P70">
        <f t="shared" si="54"/>
        <v>0.95500000000000007</v>
      </c>
      <c r="Q70" s="1"/>
      <c r="R70" s="1">
        <f>$F$28</f>
        <v>7.0000000000000007E-2</v>
      </c>
      <c r="W70" s="1">
        <v>0.15</v>
      </c>
      <c r="X70" s="1">
        <f>X69</f>
        <v>0.16</v>
      </c>
      <c r="Y70" s="1">
        <v>1</v>
      </c>
      <c r="Z70" s="42"/>
      <c r="AA70" s="43"/>
      <c r="AB70" s="1">
        <f t="shared" si="65"/>
        <v>0.15</v>
      </c>
      <c r="AC70" s="1">
        <f t="shared" si="65"/>
        <v>0.06</v>
      </c>
      <c r="AE70" s="26">
        <f t="shared" si="19"/>
        <v>0.96691930373558066</v>
      </c>
    </row>
    <row r="71" spans="1:31" s="58" customFormat="1">
      <c r="B71" s="58" t="s">
        <v>452</v>
      </c>
      <c r="C71" s="39">
        <f t="shared" ref="C71" si="71">PRODUCT($M$25,F71,G71,H71,I71,K71,L71,M71,N71,O71,P71)</f>
        <v>14334785564.724174</v>
      </c>
      <c r="D71" s="39">
        <f t="shared" ref="D71" si="72">PRODUCT($M$25,F71,G71,H71,J71,K71,L71,M71,N71,O71,P71)</f>
        <v>6563778844.2746649</v>
      </c>
      <c r="E71" s="39">
        <f>H34</f>
        <v>30</v>
      </c>
      <c r="F71" s="40">
        <f>(2400%+48%*(E71-25))</f>
        <v>26.4</v>
      </c>
      <c r="G71" s="66">
        <v>12</v>
      </c>
      <c r="H71" s="27">
        <v>1</v>
      </c>
      <c r="I71" s="41">
        <f t="shared" si="58"/>
        <v>5.2019122807017544</v>
      </c>
      <c r="J71" s="41">
        <f t="shared" si="21"/>
        <v>2.3819122807017545</v>
      </c>
      <c r="K71" s="41">
        <f t="shared" ref="K71" si="73">1-$C$31*(1-$I$25)*(1-U71)*(1-V71)*(1-W71)*(1-X71)</f>
        <v>0.90075791120674209</v>
      </c>
      <c r="L71" s="58">
        <f t="shared" ref="L71" si="74">IF($J$25+Y71&gt;=1, 1.35+$K$25, (1.35+$K$25)*($J$25+Y71)+(1-($J$25+Y71)))</f>
        <v>2.0700000000000003</v>
      </c>
      <c r="M71" s="58">
        <f t="shared" ref="M71" si="75">(1+$H$25)*(1+Z71*AA71)*(1+AB71)*(1+AC71)</f>
        <v>1.5237500000000002</v>
      </c>
      <c r="N71" s="58">
        <f t="shared" si="54"/>
        <v>0.52500000000000002</v>
      </c>
      <c r="O71" s="58">
        <f t="shared" si="54"/>
        <v>1.2</v>
      </c>
      <c r="P71" s="58">
        <f t="shared" si="54"/>
        <v>0.95500000000000007</v>
      </c>
      <c r="Q71" s="1"/>
      <c r="R71" s="1">
        <f>$F$28</f>
        <v>7.0000000000000007E-2</v>
      </c>
      <c r="W71" s="1">
        <v>0.15</v>
      </c>
      <c r="X71" s="1">
        <f>X70</f>
        <v>0.16</v>
      </c>
      <c r="Y71" s="1">
        <v>1</v>
      </c>
      <c r="Z71" s="42"/>
      <c r="AA71" s="43"/>
      <c r="AB71" s="1">
        <f t="shared" si="65"/>
        <v>0.15</v>
      </c>
      <c r="AC71" s="1">
        <f t="shared" si="65"/>
        <v>0.06</v>
      </c>
      <c r="AE71" s="26">
        <f t="shared" ref="AE71" si="76">1-(1-$I$25)*(1-U71)*(1-V71)*(1-W71)*(1-X71)</f>
        <v>0.96691930373558066</v>
      </c>
    </row>
    <row r="72" spans="1:31" s="58" customFormat="1">
      <c r="B72" s="67" t="s">
        <v>464</v>
      </c>
      <c r="C72" s="39">
        <f t="shared" ref="C72" si="77">PRODUCT($M$25,F72,G72,H72,I72,K72,L72,M72,N72,O72,P72)</f>
        <v>9781209536.3420506</v>
      </c>
      <c r="D72" s="39">
        <f t="shared" ref="D72" si="78">PRODUCT($M$25,F72,G72,H72,J72,K72,L72,M72,N72,O72,P72)</f>
        <v>4406407828.1739645</v>
      </c>
      <c r="E72" s="39">
        <f>H34</f>
        <v>30</v>
      </c>
      <c r="F72" s="40">
        <f>F71</f>
        <v>26.4</v>
      </c>
      <c r="G72" s="66">
        <v>12</v>
      </c>
      <c r="H72" s="27">
        <v>1</v>
      </c>
      <c r="I72" s="41">
        <f t="shared" si="58"/>
        <v>5.1319122807017541</v>
      </c>
      <c r="J72" s="41">
        <f t="shared" si="21"/>
        <v>2.3119122807017547</v>
      </c>
      <c r="K72" s="41">
        <f t="shared" ref="K72" si="79">1-$C$31*(1-$I$25)*(1-U72)*(1-V72)*(1-W72)*(1-X72)</f>
        <v>0.88324460141969652</v>
      </c>
      <c r="L72" s="67">
        <f t="shared" ref="L72" si="80">IF($J$25+Y72&gt;=1, 1.35+$K$25, (1.35+$K$25)*($J$25+Y72)+(1-($J$25+Y72)))</f>
        <v>1.4601000000000002</v>
      </c>
      <c r="M72" s="67">
        <f t="shared" ref="M72" si="81">(1+$H$25)*(1+Z72*AA72)*(1+AB72)*(1+AC72)</f>
        <v>1.5237500000000002</v>
      </c>
      <c r="N72" s="67">
        <f t="shared" si="54"/>
        <v>0.52500000000000002</v>
      </c>
      <c r="O72" s="67">
        <f t="shared" si="54"/>
        <v>1.2</v>
      </c>
      <c r="P72" s="67">
        <f t="shared" si="54"/>
        <v>0.95500000000000007</v>
      </c>
      <c r="Q72" s="1"/>
      <c r="R72" s="1"/>
      <c r="S72" s="67"/>
      <c r="T72" s="67"/>
      <c r="U72" s="67"/>
      <c r="V72" s="67"/>
      <c r="W72" s="1"/>
      <c r="X72" s="1">
        <f>X71</f>
        <v>0.16</v>
      </c>
      <c r="Y72" s="1"/>
      <c r="Z72" s="42"/>
      <c r="AA72" s="43"/>
      <c r="AB72" s="1">
        <f t="shared" si="65"/>
        <v>0.15</v>
      </c>
      <c r="AC72" s="1">
        <f t="shared" si="65"/>
        <v>0.06</v>
      </c>
      <c r="AD72" s="67"/>
      <c r="AE72" s="26">
        <f t="shared" ref="AE72" si="82">1-(1-$I$25)*(1-U72)*(1-V72)*(1-W72)*(1-X72)</f>
        <v>0.96108153380656547</v>
      </c>
    </row>
    <row r="73" spans="1:31">
      <c r="F73" s="1"/>
      <c r="I73" s="41"/>
      <c r="J73" s="41"/>
      <c r="AC73" s="1"/>
    </row>
    <row r="74" spans="1:31">
      <c r="A74" t="s">
        <v>267</v>
      </c>
      <c r="B74" t="s">
        <v>546</v>
      </c>
      <c r="C74" s="39">
        <f>PRODUCT($M$25,F74,G74,H74,I74,K74,L74,M74,N74,O74,P74)</f>
        <v>4297324602.7287331</v>
      </c>
      <c r="D74" s="39">
        <f>PRODUCT($M$25,F74,G74,H74,J74,K74,L74,M74,N74,O74,P74)</f>
        <v>1935932841.3641157</v>
      </c>
      <c r="F74" s="1">
        <f>IF($L$13="ON",1000%+($D$34-25)*20%, 0)</f>
        <v>11</v>
      </c>
      <c r="G74" s="106">
        <v>6</v>
      </c>
      <c r="H74" s="106">
        <f>1+$K$8*0.9</f>
        <v>1.9</v>
      </c>
      <c r="I74" s="41">
        <f t="shared" ref="I74:I81" si="83">$D$25+$F$25+$G$25+Q74+R74+S74+1</f>
        <v>5.1319122807017541</v>
      </c>
      <c r="J74" s="41">
        <f t="shared" si="21"/>
        <v>2.3119122807017547</v>
      </c>
      <c r="K74" s="41">
        <f>1-$C$31*(1-$I$25)*(1-U74)*(1-V74)*(1-W74)*(1-X74)</f>
        <v>0.88324460141969652</v>
      </c>
      <c r="L74" s="106">
        <f>IF($J$25+Y74&gt;=1, 1.35+$K$25, (1.35+$K$25)*($J$25+Y74)+(1-($J$25+Y74)))</f>
        <v>1.6206</v>
      </c>
      <c r="M74" s="106">
        <f>(1+$H$25)*(1+Z74*AA74)*(1+AB74)*(1+AC74)</f>
        <v>1.5237500000000002</v>
      </c>
      <c r="N74" s="106">
        <f>N72</f>
        <v>0.52500000000000002</v>
      </c>
      <c r="O74" s="106">
        <f>O72</f>
        <v>1.2</v>
      </c>
      <c r="P74" s="106">
        <f>P72</f>
        <v>0.95500000000000007</v>
      </c>
      <c r="Q74" s="1"/>
      <c r="R74" s="1"/>
      <c r="S74" s="1"/>
      <c r="T74" s="106"/>
      <c r="U74" s="1"/>
      <c r="V74" s="1"/>
      <c r="W74" s="106"/>
      <c r="X74" s="1">
        <v>0.16</v>
      </c>
      <c r="Y74" s="1">
        <v>0.15</v>
      </c>
      <c r="Z74" s="106"/>
      <c r="AA74" s="1"/>
      <c r="AB74" s="1">
        <v>0.15</v>
      </c>
      <c r="AC74" s="1">
        <v>0.06</v>
      </c>
      <c r="AD74" s="106"/>
      <c r="AE74" s="26">
        <f t="shared" ref="AE74:AE75" si="84">1-(1-$I$25)*(1-U74)*(1-V74)*(1-W74)*(1-X74)</f>
        <v>0.96108153380656547</v>
      </c>
    </row>
    <row r="75" spans="1:31">
      <c r="B75" t="s">
        <v>551</v>
      </c>
      <c r="C75" s="39">
        <f t="shared" ref="C75:C80" si="85">PRODUCT($M$25,F75,G75,H75,I75,K75,L75,M75,N75,O75,P75)</f>
        <v>4297324602.7287331</v>
      </c>
      <c r="D75" s="39">
        <f t="shared" ref="D75:D80" si="86">PRODUCT($M$25,F75,G75,H75,J75,K75,L75,M75,N75,O75,P75)</f>
        <v>1935932841.3641157</v>
      </c>
      <c r="F75" s="1">
        <f t="shared" ref="F75:F81" si="87">IF($L$13="ON",1000%+($D$34-25)*20%, 0)</f>
        <v>11</v>
      </c>
      <c r="G75" s="106">
        <f>G74</f>
        <v>6</v>
      </c>
      <c r="H75" s="106">
        <f t="shared" ref="H75" si="88">1+$K$8*0.9</f>
        <v>1.9</v>
      </c>
      <c r="I75" s="41">
        <f t="shared" si="83"/>
        <v>5.1319122807017541</v>
      </c>
      <c r="J75" s="41">
        <f t="shared" si="21"/>
        <v>2.3119122807017547</v>
      </c>
      <c r="K75" s="41">
        <f t="shared" ref="K75" si="89">1-$C$31*(1-$I$25)*(1-U75)*(1-V75)*(1-W75)*(1-X75)</f>
        <v>0.88324460141969652</v>
      </c>
      <c r="L75" s="106">
        <f t="shared" ref="L75" si="90">IF($J$25+Y75&gt;=1, 1.35+$K$25, (1.35+$K$25)*($J$25+Y75)+(1-($J$25+Y75)))</f>
        <v>1.6206</v>
      </c>
      <c r="M75" s="106">
        <f t="shared" ref="M75" si="91">(1+$H$25)*(1+Z75*AA75)*(1+AB75)*(1+AC75)</f>
        <v>1.5237500000000002</v>
      </c>
      <c r="N75" s="106">
        <f t="shared" ref="N75:P75" si="92">N74</f>
        <v>0.52500000000000002</v>
      </c>
      <c r="O75" s="106">
        <f t="shared" si="92"/>
        <v>1.2</v>
      </c>
      <c r="P75" s="106">
        <f t="shared" si="92"/>
        <v>0.95500000000000007</v>
      </c>
      <c r="Q75" s="106"/>
      <c r="S75" s="1"/>
      <c r="T75" s="106"/>
      <c r="U75" s="1"/>
      <c r="V75" s="1"/>
      <c r="W75" s="106"/>
      <c r="X75" s="1">
        <f t="shared" ref="X75" si="93">X74</f>
        <v>0.16</v>
      </c>
      <c r="Y75" s="1">
        <v>0.15</v>
      </c>
      <c r="Z75" s="42"/>
      <c r="AA75" s="43"/>
      <c r="AB75" s="1">
        <f t="shared" ref="AB75:AC75" si="94">AB74</f>
        <v>0.15</v>
      </c>
      <c r="AC75" s="1">
        <f t="shared" si="94"/>
        <v>0.06</v>
      </c>
      <c r="AD75" s="106"/>
      <c r="AE75" s="26">
        <f t="shared" si="84"/>
        <v>0.96108153380656547</v>
      </c>
    </row>
    <row r="76" spans="1:31" s="106" customFormat="1">
      <c r="B76" s="106" t="s">
        <v>552</v>
      </c>
      <c r="C76" s="39">
        <f t="shared" si="85"/>
        <v>5674185952.7033215</v>
      </c>
      <c r="D76" s="39">
        <f t="shared" si="86"/>
        <v>2598162459.1920552</v>
      </c>
      <c r="F76" s="1">
        <f t="shared" si="87"/>
        <v>11</v>
      </c>
      <c r="G76" s="175">
        <f t="shared" ref="G76:G81" si="95">G75</f>
        <v>6</v>
      </c>
      <c r="H76" s="106">
        <f t="shared" ref="H76:H81" si="96">1+$K$8*0.9</f>
        <v>1.9</v>
      </c>
      <c r="I76" s="41">
        <f t="shared" si="83"/>
        <v>5.2019122807017544</v>
      </c>
      <c r="J76" s="41">
        <f t="shared" si="21"/>
        <v>2.3819122807017545</v>
      </c>
      <c r="K76" s="41">
        <f t="shared" ref="K76:K81" si="97">1-$C$31*(1-$I$25)*(1-U76)*(1-V76)*(1-W76)*(1-X76)</f>
        <v>0.90075791120674209</v>
      </c>
      <c r="L76" s="106">
        <f t="shared" ref="L76:L81" si="98">IF($J$25+Y76&gt;=1, 1.35+$K$25, (1.35+$K$25)*($J$25+Y76)+(1-($J$25+Y76)))</f>
        <v>2.0700000000000003</v>
      </c>
      <c r="M76" s="106">
        <f t="shared" ref="M76:M81" si="99">(1+$H$25)*(1+Z76*AA76)*(1+AB76)*(1+AC76)</f>
        <v>1.5237500000000002</v>
      </c>
      <c r="N76" s="106">
        <f t="shared" ref="N76:P76" si="100">N75</f>
        <v>0.52500000000000002</v>
      </c>
      <c r="O76" s="106">
        <f t="shared" si="100"/>
        <v>1.2</v>
      </c>
      <c r="P76" s="106">
        <f t="shared" si="100"/>
        <v>0.95500000000000007</v>
      </c>
      <c r="R76" s="1">
        <f>$F$28</f>
        <v>7.0000000000000007E-2</v>
      </c>
      <c r="V76" s="1"/>
      <c r="W76" s="1">
        <v>0.15</v>
      </c>
      <c r="X76" s="1">
        <f t="shared" ref="X76:Y81" si="101">X75</f>
        <v>0.16</v>
      </c>
      <c r="Y76" s="1">
        <v>1</v>
      </c>
      <c r="AA76" s="1"/>
      <c r="AB76" s="1">
        <f t="shared" ref="AB76:AC81" si="102">AB75</f>
        <v>0.15</v>
      </c>
      <c r="AC76" s="1">
        <f t="shared" si="102"/>
        <v>0.06</v>
      </c>
      <c r="AE76" s="26">
        <f t="shared" ref="AE76:AE81" si="103">1-(1-$I$25)*(1-U76)*(1-V76)*(1-W76)*(1-X76)</f>
        <v>0.96691930373558066</v>
      </c>
    </row>
    <row r="77" spans="1:31" s="106" customFormat="1">
      <c r="B77" t="s">
        <v>547</v>
      </c>
      <c r="C77" s="39">
        <f t="shared" si="85"/>
        <v>5674185952.7033215</v>
      </c>
      <c r="D77" s="39">
        <f t="shared" si="86"/>
        <v>2598162459.1920552</v>
      </c>
      <c r="F77" s="1">
        <f t="shared" si="87"/>
        <v>11</v>
      </c>
      <c r="G77" s="175">
        <f t="shared" si="95"/>
        <v>6</v>
      </c>
      <c r="H77" s="106">
        <f t="shared" si="96"/>
        <v>1.9</v>
      </c>
      <c r="I77" s="41">
        <f t="shared" si="83"/>
        <v>5.2019122807017544</v>
      </c>
      <c r="J77" s="41">
        <f t="shared" si="21"/>
        <v>2.3819122807017545</v>
      </c>
      <c r="K77" s="41">
        <f t="shared" si="97"/>
        <v>0.90075791120674209</v>
      </c>
      <c r="L77" s="106">
        <f t="shared" si="98"/>
        <v>2.0700000000000003</v>
      </c>
      <c r="M77" s="106">
        <f t="shared" si="99"/>
        <v>1.5237500000000002</v>
      </c>
      <c r="N77" s="106">
        <f>N76</f>
        <v>0.52500000000000002</v>
      </c>
      <c r="O77" s="106">
        <f>O76</f>
        <v>1.2</v>
      </c>
      <c r="P77" s="106">
        <f>P76</f>
        <v>0.95500000000000007</v>
      </c>
      <c r="Q77" s="1"/>
      <c r="R77" s="1">
        <f>$F$28</f>
        <v>7.0000000000000007E-2</v>
      </c>
      <c r="S77" s="1"/>
      <c r="U77" s="1"/>
      <c r="V77" s="1"/>
      <c r="W77" s="1">
        <f>W70</f>
        <v>0.15</v>
      </c>
      <c r="X77" s="1">
        <f t="shared" si="101"/>
        <v>0.16</v>
      </c>
      <c r="Y77" s="1">
        <v>1</v>
      </c>
      <c r="AA77" s="1"/>
      <c r="AB77" s="1">
        <f t="shared" si="102"/>
        <v>0.15</v>
      </c>
      <c r="AC77" s="1">
        <f t="shared" si="102"/>
        <v>0.06</v>
      </c>
      <c r="AE77" s="26">
        <f t="shared" si="103"/>
        <v>0.96691930373558066</v>
      </c>
    </row>
    <row r="78" spans="1:31" s="106" customFormat="1">
      <c r="B78" s="106" t="s">
        <v>548</v>
      </c>
      <c r="C78" s="39">
        <f t="shared" si="85"/>
        <v>5674185952.7033215</v>
      </c>
      <c r="D78" s="39">
        <f t="shared" si="86"/>
        <v>2598162459.1920552</v>
      </c>
      <c r="F78" s="1">
        <f t="shared" si="87"/>
        <v>11</v>
      </c>
      <c r="G78" s="175">
        <f t="shared" si="95"/>
        <v>6</v>
      </c>
      <c r="H78" s="106">
        <f t="shared" si="96"/>
        <v>1.9</v>
      </c>
      <c r="I78" s="41">
        <f t="shared" si="83"/>
        <v>5.2019122807017544</v>
      </c>
      <c r="J78" s="41">
        <f t="shared" si="21"/>
        <v>2.3819122807017545</v>
      </c>
      <c r="K78" s="41">
        <f t="shared" si="97"/>
        <v>0.90075791120674209</v>
      </c>
      <c r="L78" s="106">
        <f t="shared" si="98"/>
        <v>2.0700000000000003</v>
      </c>
      <c r="M78" s="106">
        <f t="shared" si="99"/>
        <v>1.5237500000000002</v>
      </c>
      <c r="N78" s="106">
        <f t="shared" ref="N78:P81" si="104">N77</f>
        <v>0.52500000000000002</v>
      </c>
      <c r="O78" s="106">
        <f t="shared" si="104"/>
        <v>1.2</v>
      </c>
      <c r="P78" s="106">
        <f t="shared" si="104"/>
        <v>0.95500000000000007</v>
      </c>
      <c r="Q78" s="1"/>
      <c r="R78" s="1">
        <f>$F$28</f>
        <v>7.0000000000000007E-2</v>
      </c>
      <c r="S78" s="1"/>
      <c r="U78" s="1"/>
      <c r="V78" s="1"/>
      <c r="W78" s="1">
        <f>W77</f>
        <v>0.15</v>
      </c>
      <c r="X78" s="1">
        <f t="shared" si="101"/>
        <v>0.16</v>
      </c>
      <c r="Y78" s="1">
        <f t="shared" si="101"/>
        <v>1</v>
      </c>
      <c r="Z78" s="42"/>
      <c r="AA78" s="43"/>
      <c r="AB78" s="1">
        <f t="shared" si="102"/>
        <v>0.15</v>
      </c>
      <c r="AC78" s="1">
        <f t="shared" si="102"/>
        <v>0.06</v>
      </c>
      <c r="AE78" s="26">
        <f t="shared" si="103"/>
        <v>0.96691930373558066</v>
      </c>
    </row>
    <row r="79" spans="1:31" s="106" customFormat="1">
      <c r="B79" s="106" t="s">
        <v>549</v>
      </c>
      <c r="C79" s="39">
        <f t="shared" si="85"/>
        <v>5674185952.7033215</v>
      </c>
      <c r="D79" s="39">
        <f t="shared" si="86"/>
        <v>2598162459.1920552</v>
      </c>
      <c r="F79" s="1">
        <f t="shared" si="87"/>
        <v>11</v>
      </c>
      <c r="G79" s="175">
        <f t="shared" si="95"/>
        <v>6</v>
      </c>
      <c r="H79" s="106">
        <f t="shared" si="96"/>
        <v>1.9</v>
      </c>
      <c r="I79" s="41">
        <f t="shared" si="83"/>
        <v>5.2019122807017544</v>
      </c>
      <c r="J79" s="41">
        <f t="shared" si="21"/>
        <v>2.3819122807017545</v>
      </c>
      <c r="K79" s="41">
        <f t="shared" si="97"/>
        <v>0.90075791120674209</v>
      </c>
      <c r="L79" s="106">
        <f t="shared" si="98"/>
        <v>2.0700000000000003</v>
      </c>
      <c r="M79" s="106">
        <f t="shared" si="99"/>
        <v>1.5237500000000002</v>
      </c>
      <c r="N79" s="106">
        <f t="shared" ref="N79" si="105">N78</f>
        <v>0.52500000000000002</v>
      </c>
      <c r="O79" s="106">
        <f t="shared" si="104"/>
        <v>1.2</v>
      </c>
      <c r="P79" s="106">
        <f t="shared" si="104"/>
        <v>0.95500000000000007</v>
      </c>
      <c r="Q79" s="1"/>
      <c r="R79" s="1">
        <f>$F$28</f>
        <v>7.0000000000000007E-2</v>
      </c>
      <c r="S79" s="1"/>
      <c r="U79" s="1"/>
      <c r="V79" s="1"/>
      <c r="W79" s="1">
        <f>W78</f>
        <v>0.15</v>
      </c>
      <c r="X79" s="1">
        <f t="shared" si="101"/>
        <v>0.16</v>
      </c>
      <c r="Y79" s="1">
        <f t="shared" si="101"/>
        <v>1</v>
      </c>
      <c r="Z79" s="42"/>
      <c r="AA79" s="43"/>
      <c r="AB79" s="1">
        <f t="shared" si="102"/>
        <v>0.15</v>
      </c>
      <c r="AC79" s="1">
        <f t="shared" si="102"/>
        <v>0.06</v>
      </c>
      <c r="AE79" s="26">
        <f t="shared" si="103"/>
        <v>0.96691930373558066</v>
      </c>
    </row>
    <row r="80" spans="1:31">
      <c r="B80" s="106" t="s">
        <v>550</v>
      </c>
      <c r="C80" s="39">
        <f t="shared" si="85"/>
        <v>5674185952.7033215</v>
      </c>
      <c r="D80" s="39">
        <f t="shared" si="86"/>
        <v>2598162459.1920552</v>
      </c>
      <c r="F80" s="1">
        <f t="shared" si="87"/>
        <v>11</v>
      </c>
      <c r="G80" s="175">
        <f t="shared" si="95"/>
        <v>6</v>
      </c>
      <c r="H80" s="106">
        <f t="shared" si="96"/>
        <v>1.9</v>
      </c>
      <c r="I80" s="41">
        <f t="shared" si="83"/>
        <v>5.2019122807017544</v>
      </c>
      <c r="J80" s="41">
        <f t="shared" si="21"/>
        <v>2.3819122807017545</v>
      </c>
      <c r="K80" s="41">
        <f t="shared" si="97"/>
        <v>0.90075791120674209</v>
      </c>
      <c r="L80" s="106">
        <f t="shared" si="98"/>
        <v>2.0700000000000003</v>
      </c>
      <c r="M80" s="106">
        <f t="shared" si="99"/>
        <v>1.5237500000000002</v>
      </c>
      <c r="N80" s="106">
        <f t="shared" ref="N80:N81" si="106">N79</f>
        <v>0.52500000000000002</v>
      </c>
      <c r="O80" s="106">
        <f t="shared" si="104"/>
        <v>1.2</v>
      </c>
      <c r="P80" s="106">
        <f t="shared" si="104"/>
        <v>0.95500000000000007</v>
      </c>
      <c r="Q80" s="1"/>
      <c r="R80" s="1">
        <f>$F$28</f>
        <v>7.0000000000000007E-2</v>
      </c>
      <c r="S80" s="1"/>
      <c r="T80" s="106"/>
      <c r="U80" s="1"/>
      <c r="V80" s="1"/>
      <c r="W80" s="1">
        <f>W79</f>
        <v>0.15</v>
      </c>
      <c r="X80" s="1">
        <f t="shared" si="101"/>
        <v>0.16</v>
      </c>
      <c r="Y80" s="1">
        <f t="shared" si="101"/>
        <v>1</v>
      </c>
      <c r="Z80" s="42"/>
      <c r="AA80" s="43"/>
      <c r="AB80" s="1">
        <f t="shared" si="102"/>
        <v>0.15</v>
      </c>
      <c r="AC80" s="1">
        <f t="shared" si="102"/>
        <v>0.06</v>
      </c>
      <c r="AD80" s="106"/>
      <c r="AE80" s="26">
        <f t="shared" si="103"/>
        <v>0.96691930373558066</v>
      </c>
    </row>
    <row r="81" spans="1:31" s="106" customFormat="1">
      <c r="B81" s="106" t="s">
        <v>560</v>
      </c>
      <c r="C81" s="39">
        <f t="shared" ref="C81" si="107">PRODUCT($M$25,F81,G81,H81,I81,K81,L81,M81,N81,O81,P81)</f>
        <v>4297324602.7287331</v>
      </c>
      <c r="D81" s="39">
        <f t="shared" ref="D81" si="108">PRODUCT($M$25,F81,G81,H81,J81,K81,L81,M81,N81,O81,P81)</f>
        <v>1935932841.3641157</v>
      </c>
      <c r="F81" s="1">
        <f t="shared" si="87"/>
        <v>11</v>
      </c>
      <c r="G81" s="175">
        <f t="shared" si="95"/>
        <v>6</v>
      </c>
      <c r="H81" s="106">
        <f t="shared" si="96"/>
        <v>1.9</v>
      </c>
      <c r="I81" s="41">
        <f t="shared" si="83"/>
        <v>5.1319122807017541</v>
      </c>
      <c r="J81" s="41">
        <f t="shared" si="21"/>
        <v>2.3119122807017547</v>
      </c>
      <c r="K81" s="41">
        <f t="shared" si="97"/>
        <v>0.88324460141969652</v>
      </c>
      <c r="L81" s="106">
        <f t="shared" si="98"/>
        <v>1.6206</v>
      </c>
      <c r="M81" s="106">
        <f t="shared" si="99"/>
        <v>1.5237500000000002</v>
      </c>
      <c r="N81" s="106">
        <f t="shared" si="106"/>
        <v>0.52500000000000002</v>
      </c>
      <c r="O81" s="106">
        <f t="shared" si="104"/>
        <v>1.2</v>
      </c>
      <c r="P81" s="106">
        <f t="shared" si="104"/>
        <v>0.95500000000000007</v>
      </c>
      <c r="Q81" s="1"/>
      <c r="R81" s="1"/>
      <c r="V81" s="1"/>
      <c r="X81" s="1">
        <f t="shared" si="101"/>
        <v>0.16</v>
      </c>
      <c r="Y81" s="1">
        <v>0.15</v>
      </c>
      <c r="Z81" s="42"/>
      <c r="AA81" s="43"/>
      <c r="AB81" s="1">
        <f t="shared" si="102"/>
        <v>0.15</v>
      </c>
      <c r="AC81" s="1">
        <f t="shared" si="102"/>
        <v>0.06</v>
      </c>
      <c r="AE81" s="26">
        <f t="shared" si="103"/>
        <v>0.96108153380656547</v>
      </c>
    </row>
    <row r="83" spans="1:31">
      <c r="A83" t="s">
        <v>269</v>
      </c>
      <c r="B83" t="s">
        <v>545</v>
      </c>
    </row>
    <row r="84" spans="1:31">
      <c r="A84" t="s">
        <v>268</v>
      </c>
    </row>
    <row r="86" spans="1:31">
      <c r="A86" t="s">
        <v>270</v>
      </c>
      <c r="B86" t="s">
        <v>271</v>
      </c>
      <c r="J86" s="33"/>
    </row>
    <row r="87" spans="1:31">
      <c r="C87" t="s">
        <v>221</v>
      </c>
      <c r="D87" t="s">
        <v>272</v>
      </c>
      <c r="E87" t="s">
        <v>273</v>
      </c>
      <c r="F87" t="s">
        <v>274</v>
      </c>
      <c r="G87" t="s">
        <v>275</v>
      </c>
      <c r="H87" t="s">
        <v>276</v>
      </c>
      <c r="I87" t="s">
        <v>277</v>
      </c>
      <c r="J87" t="s">
        <v>278</v>
      </c>
      <c r="K87" t="s">
        <v>453</v>
      </c>
      <c r="L87" t="s">
        <v>279</v>
      </c>
    </row>
    <row r="88" spans="1:31">
      <c r="B88" t="s">
        <v>280</v>
      </c>
      <c r="C88" t="s">
        <v>281</v>
      </c>
      <c r="D88">
        <v>1.23</v>
      </c>
      <c r="E88">
        <v>18.239999999999998</v>
      </c>
      <c r="F88">
        <f>K22*K7</f>
        <v>31.046046243135429</v>
      </c>
      <c r="G88">
        <f>F88/E88*D88</f>
        <v>2.0935656183693299</v>
      </c>
      <c r="H88">
        <f>F88-G88</f>
        <v>28.9524806247661</v>
      </c>
      <c r="I88">
        <f>F88/E88</f>
        <v>1.7020858685929512</v>
      </c>
      <c r="J88" s="3">
        <f>$C$46*(1-$K$13)+$C$64*$K$13</f>
        <v>6944412674.8181</v>
      </c>
      <c r="K88" s="62">
        <f>IF($L$19="OFF", J88, J88*(1+DPM_DB!$B$25))</f>
        <v>7414495994.3442488</v>
      </c>
      <c r="L88" s="3">
        <f>K88*I88</f>
        <v>12620108854.712387</v>
      </c>
    </row>
    <row r="89" spans="1:31">
      <c r="C89" t="s">
        <v>282</v>
      </c>
      <c r="D89">
        <v>1.26</v>
      </c>
      <c r="E89">
        <f>D89</f>
        <v>1.26</v>
      </c>
      <c r="F89">
        <f>H88</f>
        <v>28.9524806247661</v>
      </c>
      <c r="G89">
        <f>F89</f>
        <v>28.9524806247661</v>
      </c>
      <c r="H89">
        <f>H88-G89</f>
        <v>0</v>
      </c>
      <c r="I89">
        <f>G89/E89</f>
        <v>22.978159226004841</v>
      </c>
      <c r="J89" s="3">
        <f>($C$38+$C$39+$C$40+$C$41)*(1-$K$13)+($C$56+$C$57+$C$58+$C$59)*$K$13</f>
        <v>22350208033.746357</v>
      </c>
      <c r="K89" s="65">
        <f>IF($L$19="OFF", J89, J89*(1+DPM_DB!$B$25))</f>
        <v>23863145192.953804</v>
      </c>
      <c r="L89" s="61">
        <f t="shared" ref="L89:L91" si="109">K89*I89</f>
        <v>548331149876.96454</v>
      </c>
    </row>
    <row r="90" spans="1:31">
      <c r="C90" t="s">
        <v>283</v>
      </c>
      <c r="I90">
        <f>IF($L$7="OFF", 0, 60/$D$7*7)</f>
        <v>3.6842105263157894</v>
      </c>
      <c r="J90" s="3">
        <f>$C$42*(1-$K$13)+$C$60*$K$13</f>
        <v>5898383683.7031336</v>
      </c>
      <c r="K90" s="65">
        <f>IF($L$19="OFF", J90, J90*(1+DPM_DB!$B$25))</f>
        <v>6297658886.9076538</v>
      </c>
      <c r="L90" s="61">
        <f t="shared" si="109"/>
        <v>23201901162.291355</v>
      </c>
    </row>
    <row r="91" spans="1:31">
      <c r="C91" t="s">
        <v>191</v>
      </c>
      <c r="I91">
        <f>IF($L$12="OFF", 0, 60/$D$12)</f>
        <v>0.52631578947368418</v>
      </c>
      <c r="J91" s="3">
        <f>$C$49*(1-$K$13)+$C$67*$K$13</f>
        <v>216058644207.70926</v>
      </c>
      <c r="K91" s="65">
        <f>IF($L$19="OFF", J91, J91*(1+DPM_DB!$B$26))</f>
        <v>239825095070.55731</v>
      </c>
      <c r="L91" s="61">
        <f t="shared" si="109"/>
        <v>126223734247.66174</v>
      </c>
    </row>
    <row r="92" spans="1:31">
      <c r="C92" t="s">
        <v>284</v>
      </c>
      <c r="I92">
        <f>IF($L$11="OFF", 0, 60/$D$11*$K$7)</f>
        <v>0.32737345756736336</v>
      </c>
      <c r="J92" s="3">
        <f>$C$48*(1-$K$13)+$C$66*$K$13</f>
        <v>141029633755.17624</v>
      </c>
      <c r="K92" s="65">
        <f>IF($L$19="OFF", J92, J92*(1+DPM_DB!$B$25))</f>
        <v>150576255117.06509</v>
      </c>
      <c r="L92" s="61">
        <f>K92*I92</f>
        <v>49294669265.218987</v>
      </c>
    </row>
    <row r="93" spans="1:31">
      <c r="C93" t="s">
        <v>257</v>
      </c>
      <c r="F93">
        <f>60*K7</f>
        <v>34.210526315789473</v>
      </c>
      <c r="I93">
        <f>F93/0.5</f>
        <v>68.421052631578945</v>
      </c>
      <c r="J93" s="3">
        <f>$C$44*(1-$K$13)+$C$62*$K$13</f>
        <v>486490448.37324584</v>
      </c>
      <c r="K93" s="65">
        <f>IF($L$19="OFF", J93, J93*(1+DPM_DB!$B$25))</f>
        <v>519422109.49389631</v>
      </c>
      <c r="L93" s="61">
        <f>K93*I93</f>
        <v>35539407491.687637</v>
      </c>
    </row>
    <row r="94" spans="1:31">
      <c r="C94" t="s">
        <v>285</v>
      </c>
      <c r="I94">
        <f>IF($L$18="OFF", 0, 60/$D$18*$K$7)</f>
        <v>0.1440443213296399</v>
      </c>
      <c r="J94" s="3">
        <f>$C$52*(1-$K$13)+$C$70*$K$13</f>
        <v>49864875580.963188</v>
      </c>
      <c r="K94" s="65">
        <f>IF($L$19="OFF", J94, J94*(1+DPM_DB!$B$25))</f>
        <v>53240344081.828392</v>
      </c>
      <c r="L94" s="61">
        <f>K94*I94</f>
        <v>7668969230.6234808</v>
      </c>
    </row>
    <row r="95" spans="1:31" s="58" customFormat="1">
      <c r="C95" s="58" t="s">
        <v>452</v>
      </c>
      <c r="I95" s="58">
        <f>IF($L$19="OFF",0,60*INT(($E$19-1)/(4))/$D$19)/4</f>
        <v>1.1842105263157894</v>
      </c>
      <c r="J95" s="59">
        <f>$C$71*$K$13+$C$53*(1-$K$13)</f>
        <v>14079494281.683723</v>
      </c>
      <c r="K95" s="65">
        <f>IF($L$19="OFF", J95, J95*(1+DPM_DB!$B$26))</f>
        <v>15628238652.668934</v>
      </c>
      <c r="L95" s="61">
        <f>K95*I95</f>
        <v>18507124720.265842</v>
      </c>
      <c r="R95" s="177"/>
    </row>
    <row r="96" spans="1:31" s="106" customFormat="1">
      <c r="C96" s="106" t="s">
        <v>553</v>
      </c>
      <c r="I96" s="106">
        <f>IF($L$7="ON", $I$89/($I$89*4+$I$88)*$K$13*60/DPM_DB!$D$21*$K$7, 0)</f>
        <v>1.3220851170989676</v>
      </c>
      <c r="J96" s="105">
        <f>$C$77</f>
        <v>5674185952.7033215</v>
      </c>
      <c r="K96" s="105">
        <f>IF($L$19="OFF", J96, J96*(1+DPM_DB!$B$25))</f>
        <v>6058284694.1170845</v>
      </c>
      <c r="L96" s="105">
        <f>K96*I96</f>
        <v>8009568029.2406683</v>
      </c>
      <c r="R96" s="177"/>
    </row>
    <row r="97" spans="1:18" s="106" customFormat="1">
      <c r="C97" s="106" t="s">
        <v>554</v>
      </c>
      <c r="I97" s="191">
        <f>IF($L$7="ON", $I$89/($I$89*4+$I$88)*$K$13*60/DPM_DB!$D$21*$K$7, 0)</f>
        <v>1.3220851170989676</v>
      </c>
      <c r="J97" s="105">
        <f>$C$78</f>
        <v>5674185952.7033215</v>
      </c>
      <c r="K97" s="105">
        <f>IF($L$19="OFF", J97, J97*(1+DPM_DB!$B$25))</f>
        <v>6058284694.1170845</v>
      </c>
      <c r="L97" s="105">
        <f t="shared" ref="L97:L100" si="110">K97*I97</f>
        <v>8009568029.2406683</v>
      </c>
      <c r="R97" s="177"/>
    </row>
    <row r="98" spans="1:18" s="106" customFormat="1">
      <c r="C98" s="106" t="s">
        <v>555</v>
      </c>
      <c r="I98" s="191">
        <f>IF($L$7="ON", $I$89/($I$89*4+$I$88)*$K$13*60/DPM_DB!$D$21*$K$7, 0)</f>
        <v>1.3220851170989676</v>
      </c>
      <c r="J98" s="105">
        <f>$C$79</f>
        <v>5674185952.7033215</v>
      </c>
      <c r="K98" s="105">
        <f>IF($L$19="OFF", J98, J98*(1+DPM_DB!$B$25))</f>
        <v>6058284694.1170845</v>
      </c>
      <c r="L98" s="105">
        <f t="shared" si="110"/>
        <v>8009568029.2406683</v>
      </c>
      <c r="R98" s="177"/>
    </row>
    <row r="99" spans="1:18" s="106" customFormat="1">
      <c r="C99" s="106" t="s">
        <v>556</v>
      </c>
      <c r="I99" s="191">
        <f>IF($L$7="ON", $I$89/($I$89*4+$I$88)*$K$13*60/DPM_DB!$D$21*$K$7, 0)</f>
        <v>1.3220851170989676</v>
      </c>
      <c r="J99" s="105">
        <f>$C$80</f>
        <v>5674185952.7033215</v>
      </c>
      <c r="K99" s="105">
        <f>IF($L$19="OFF", J99, J99*(1+DPM_DB!$B$25))</f>
        <v>6058284694.1170845</v>
      </c>
      <c r="L99" s="105">
        <f t="shared" si="110"/>
        <v>8009568029.2406683</v>
      </c>
      <c r="R99" s="177"/>
    </row>
    <row r="100" spans="1:18" s="106" customFormat="1">
      <c r="C100" s="106" t="s">
        <v>557</v>
      </c>
      <c r="I100" s="106">
        <f>IF($L$7="ON",$I$88/($I$89*4+$I$88)*$K$13*60/DPM_DB!$D$21*$K$7,0)</f>
        <v>9.7932230896219816E-2</v>
      </c>
      <c r="J100" s="105">
        <f>$C$76</f>
        <v>5674185952.7033215</v>
      </c>
      <c r="K100" s="105">
        <f>IF($L$19="OFF", J100, J100*(1+DPM_DB!$B$25))</f>
        <v>6058284694.1170845</v>
      </c>
      <c r="L100" s="105">
        <f t="shared" si="110"/>
        <v>593301335.49930871</v>
      </c>
      <c r="R100" s="177"/>
    </row>
    <row r="101" spans="1:18">
      <c r="J101" s="3"/>
      <c r="K101" s="61"/>
      <c r="L101" s="61"/>
    </row>
    <row r="102" spans="1:18">
      <c r="B102" t="s">
        <v>286</v>
      </c>
      <c r="C102" t="s">
        <v>287</v>
      </c>
      <c r="D102">
        <v>0.66</v>
      </c>
      <c r="F102" s="44">
        <f>$K$22-F88</f>
        <v>23.403942552517478</v>
      </c>
      <c r="I102">
        <f>F102/(D102*7+D103)*7</f>
        <v>30.852654965653922</v>
      </c>
      <c r="J102" s="3">
        <f>$C$37*(1-$K$13)+$C$55*$K$13</f>
        <v>6969311287.3092661</v>
      </c>
      <c r="K102" s="68">
        <f>J102</f>
        <v>6969311287.3092661</v>
      </c>
      <c r="L102" s="68">
        <f t="shared" ref="L102:L107" si="111">K102*I102</f>
        <v>215021756495.59015</v>
      </c>
    </row>
    <row r="103" spans="1:18">
      <c r="C103" t="s">
        <v>288</v>
      </c>
      <c r="D103">
        <v>0.69</v>
      </c>
      <c r="I103">
        <f>I102/7</f>
        <v>4.4075221379505605</v>
      </c>
      <c r="J103" s="3">
        <f>$C$43*(1-$K$13)+$C$61*$K$13</f>
        <v>4526729679.8121586</v>
      </c>
      <c r="K103" s="69">
        <f t="shared" ref="K103:K107" si="112">J103</f>
        <v>4526729679.8121586</v>
      </c>
      <c r="L103" s="68">
        <f t="shared" si="111"/>
        <v>19951661276.28994</v>
      </c>
    </row>
    <row r="104" spans="1:18">
      <c r="C104" t="s">
        <v>289</v>
      </c>
      <c r="I104">
        <f>IF($L$11="OFF",0,60/$D$11*(1-$K$7))</f>
        <v>0.24678922185847393</v>
      </c>
      <c r="J104" s="3">
        <f>$C$47*(1-$K$13)+$C$65*$K$13</f>
        <v>137805441751.74487</v>
      </c>
      <c r="K104" s="69">
        <f t="shared" si="112"/>
        <v>137805441751.74487</v>
      </c>
      <c r="L104" s="68">
        <f t="shared" si="111"/>
        <v>34008897737.776371</v>
      </c>
    </row>
    <row r="105" spans="1:18">
      <c r="C105" t="s">
        <v>193</v>
      </c>
      <c r="D105">
        <v>0.5</v>
      </c>
      <c r="F105">
        <f>60-F93</f>
        <v>25.789473684210527</v>
      </c>
      <c r="I105">
        <f>F105/D105</f>
        <v>51.578947368421055</v>
      </c>
      <c r="J105" s="3">
        <f>$C$45*(1-$K$13)+$C$63*$K$13</f>
        <v>369823912.58700734</v>
      </c>
      <c r="K105" s="69">
        <f t="shared" si="112"/>
        <v>369823912.58700734</v>
      </c>
      <c r="L105" s="68">
        <f t="shared" si="111"/>
        <v>19075128122.908802</v>
      </c>
    </row>
    <row r="106" spans="1:18">
      <c r="C106" t="s">
        <v>290</v>
      </c>
      <c r="I106">
        <f>IF($L$18="OFF",0,60/$D$18*(1-$K$7))</f>
        <v>0.10858725761772854</v>
      </c>
      <c r="J106" s="3">
        <f>$C$51*(1-$K$13)+$C$69*$K$13</f>
        <v>37889621128.273811</v>
      </c>
      <c r="K106" s="69">
        <f t="shared" si="112"/>
        <v>37889621128.273811</v>
      </c>
      <c r="L106" s="68">
        <f t="shared" si="111"/>
        <v>4114330050.4939985</v>
      </c>
    </row>
    <row r="107" spans="1:18" s="58" customFormat="1">
      <c r="C107" s="58" t="s">
        <v>464</v>
      </c>
      <c r="F107" s="44"/>
      <c r="I107" s="67">
        <v>0</v>
      </c>
      <c r="J107" s="68">
        <f>$C$72</f>
        <v>9781209536.3420506</v>
      </c>
      <c r="K107" s="69">
        <f t="shared" si="112"/>
        <v>9781209536.3420506</v>
      </c>
      <c r="L107" s="68">
        <f t="shared" si="111"/>
        <v>0</v>
      </c>
      <c r="R107" s="177"/>
    </row>
    <row r="108" spans="1:18" s="106" customFormat="1">
      <c r="C108" s="106" t="s">
        <v>558</v>
      </c>
      <c r="F108" s="44"/>
      <c r="I108" s="106">
        <f>$I$102/($I$102+$I$103)*$K$13*60/DPM_DB!$D$21*(1-$K$7)</f>
        <v>3.5528683381868977</v>
      </c>
      <c r="J108" s="105">
        <f>$C$74</f>
        <v>4297324602.7287331</v>
      </c>
      <c r="K108" s="105">
        <f t="shared" ref="K108:K109" si="113">J108</f>
        <v>4297324602.7287331</v>
      </c>
      <c r="L108" s="105">
        <f t="shared" ref="L108:L109" si="114">K108*I108</f>
        <v>15267828519.946505</v>
      </c>
      <c r="R108" s="177"/>
    </row>
    <row r="109" spans="1:18" s="106" customFormat="1">
      <c r="C109" s="106" t="s">
        <v>559</v>
      </c>
      <c r="F109" s="44"/>
      <c r="I109" s="106">
        <f>$I$103/($I$102+$I$103)*$K$13*60/DPM_DB!$D$21*(1-$K$7)</f>
        <v>0.50755261974098531</v>
      </c>
      <c r="J109" s="105">
        <f>$C$75</f>
        <v>4297324602.7287331</v>
      </c>
      <c r="K109" s="105">
        <f t="shared" si="113"/>
        <v>4297324602.7287331</v>
      </c>
      <c r="L109" s="105">
        <f t="shared" si="114"/>
        <v>2181118359.9923573</v>
      </c>
      <c r="R109" s="177"/>
    </row>
    <row r="110" spans="1:18">
      <c r="J110" s="3"/>
      <c r="K110" s="3"/>
    </row>
    <row r="111" spans="1:18">
      <c r="D111" s="204" t="s">
        <v>291</v>
      </c>
      <c r="E111" s="204"/>
      <c r="F111" t="s">
        <v>292</v>
      </c>
      <c r="H111" t="s">
        <v>458</v>
      </c>
    </row>
    <row r="112" spans="1:18">
      <c r="A112" t="s">
        <v>293</v>
      </c>
      <c r="C112" t="s">
        <v>294</v>
      </c>
      <c r="D112" s="203">
        <f>L89</f>
        <v>548331149876.96454</v>
      </c>
      <c r="E112" s="204"/>
      <c r="F112" s="33">
        <f t="shared" ref="F112:F122" si="115">D112/$D$124</f>
        <v>0.47122086899144933</v>
      </c>
      <c r="H112" t="s">
        <v>459</v>
      </c>
      <c r="I112" s="33">
        <f>SUM(D114,D116,D117,D118)/D124</f>
        <v>0.25970938499019897</v>
      </c>
    </row>
    <row r="113" spans="3:18">
      <c r="C113" t="s">
        <v>295</v>
      </c>
      <c r="D113" s="203">
        <f>L90</f>
        <v>23201901162.291355</v>
      </c>
      <c r="E113" s="204"/>
      <c r="F113" s="33">
        <f t="shared" si="115"/>
        <v>1.9939082487657075E-2</v>
      </c>
      <c r="H113" t="s">
        <v>460</v>
      </c>
      <c r="I113" s="33">
        <f>SUM(D112,D113,D115,D119,D120)/D124</f>
        <v>0.68134825926173415</v>
      </c>
    </row>
    <row r="114" spans="3:18">
      <c r="C114" t="s">
        <v>296</v>
      </c>
      <c r="D114" s="203">
        <f>L102</f>
        <v>215021756495.59015</v>
      </c>
      <c r="E114" s="204"/>
      <c r="F114" s="33">
        <f t="shared" si="115"/>
        <v>0.18478384635024797</v>
      </c>
    </row>
    <row r="115" spans="3:18">
      <c r="C115" t="s">
        <v>297</v>
      </c>
      <c r="D115" s="203">
        <f>L92+L104</f>
        <v>83303567002.995361</v>
      </c>
      <c r="E115" s="204"/>
      <c r="F115" s="33">
        <f t="shared" si="115"/>
        <v>7.158881862182527E-2</v>
      </c>
    </row>
    <row r="116" spans="3:18">
      <c r="C116" t="s">
        <v>298</v>
      </c>
      <c r="D116" s="203">
        <f>L103</f>
        <v>19951661276.28994</v>
      </c>
      <c r="E116" s="204"/>
      <c r="F116" s="33">
        <f t="shared" si="115"/>
        <v>1.7145914775306765E-2</v>
      </c>
    </row>
    <row r="117" spans="3:18">
      <c r="C117" t="s">
        <v>299</v>
      </c>
      <c r="D117" s="203">
        <f>L93+L105</f>
        <v>54614535614.596436</v>
      </c>
      <c r="E117" s="204"/>
      <c r="F117" s="33">
        <f t="shared" si="115"/>
        <v>4.6934245733894868E-2</v>
      </c>
    </row>
    <row r="118" spans="3:18">
      <c r="C118" t="s">
        <v>281</v>
      </c>
      <c r="D118" s="203">
        <f>L88</f>
        <v>12620108854.712387</v>
      </c>
      <c r="E118" s="204"/>
      <c r="F118" s="33">
        <f t="shared" si="115"/>
        <v>1.0845378130749313E-2</v>
      </c>
    </row>
    <row r="119" spans="3:18">
      <c r="C119" t="s">
        <v>191</v>
      </c>
      <c r="D119" s="203">
        <f>L91</f>
        <v>126223734247.66174</v>
      </c>
      <c r="E119" s="204"/>
      <c r="F119" s="33">
        <f t="shared" si="115"/>
        <v>0.10847324240629953</v>
      </c>
    </row>
    <row r="120" spans="3:18">
      <c r="C120" t="s">
        <v>197</v>
      </c>
      <c r="D120" s="203">
        <f>L94+L106</f>
        <v>11783299281.117479</v>
      </c>
      <c r="E120" s="204"/>
      <c r="F120" s="33">
        <f t="shared" si="115"/>
        <v>1.0126246754502979E-2</v>
      </c>
    </row>
    <row r="121" spans="3:18" s="60" customFormat="1">
      <c r="C121" s="60" t="s">
        <v>450</v>
      </c>
      <c r="D121" s="203">
        <f>L95+L107</f>
        <v>18507124720.265842</v>
      </c>
      <c r="E121" s="204"/>
      <c r="F121" s="33">
        <f t="shared" si="115"/>
        <v>1.5904519367855762E-2</v>
      </c>
      <c r="R121" s="177"/>
    </row>
    <row r="122" spans="3:18" s="106" customFormat="1">
      <c r="C122" s="106" t="s">
        <v>562</v>
      </c>
      <c r="D122" s="203">
        <f>SUM(L96:L100)+SUM(L108:L109)</f>
        <v>50080520332.400848</v>
      </c>
      <c r="E122" s="203"/>
      <c r="F122" s="33">
        <f t="shared" si="115"/>
        <v>4.303783638021122E-2</v>
      </c>
      <c r="R122" s="177"/>
    </row>
    <row r="123" spans="3:18">
      <c r="D123" s="197"/>
      <c r="E123" s="197"/>
    </row>
    <row r="124" spans="3:18">
      <c r="C124" t="s">
        <v>300</v>
      </c>
      <c r="D124" s="205">
        <f>SUM(D112:E123)</f>
        <v>1163639358864.886</v>
      </c>
      <c r="E124" s="206"/>
      <c r="F124" s="33">
        <f>SUM(F112:F123)</f>
        <v>1</v>
      </c>
    </row>
    <row r="125" spans="3:18">
      <c r="C125" s="196" t="s">
        <v>564</v>
      </c>
      <c r="D125" s="196"/>
      <c r="E125" s="196"/>
      <c r="F125" s="196"/>
    </row>
    <row r="126" spans="3:18">
      <c r="C126" s="196" t="s">
        <v>301</v>
      </c>
      <c r="D126" s="196"/>
      <c r="E126" s="196"/>
      <c r="F126" s="196"/>
    </row>
    <row r="127" spans="3:18">
      <c r="D127" s="3"/>
      <c r="F127" s="33"/>
    </row>
    <row r="129" spans="1:18">
      <c r="A129" t="s">
        <v>302</v>
      </c>
      <c r="C129" t="s">
        <v>303</v>
      </c>
    </row>
    <row r="130" spans="1:18">
      <c r="C130" t="s">
        <v>304</v>
      </c>
    </row>
    <row r="133" spans="1:18">
      <c r="A133" t="s">
        <v>305</v>
      </c>
      <c r="B133" t="s">
        <v>306</v>
      </c>
    </row>
    <row r="134" spans="1:18">
      <c r="C134" t="s">
        <v>221</v>
      </c>
      <c r="D134" t="s">
        <v>272</v>
      </c>
      <c r="E134" t="s">
        <v>273</v>
      </c>
      <c r="F134" t="s">
        <v>274</v>
      </c>
      <c r="G134" t="s">
        <v>275</v>
      </c>
      <c r="H134" t="s">
        <v>276</v>
      </c>
      <c r="I134" t="s">
        <v>277</v>
      </c>
      <c r="J134" t="s">
        <v>278</v>
      </c>
      <c r="K134" t="s">
        <v>307</v>
      </c>
      <c r="L134" t="s">
        <v>308</v>
      </c>
      <c r="M134" t="s">
        <v>309</v>
      </c>
      <c r="N134" s="71" t="s">
        <v>453</v>
      </c>
    </row>
    <row r="135" spans="1:18">
      <c r="B135" t="s">
        <v>280</v>
      </c>
      <c r="C135" t="s">
        <v>281</v>
      </c>
      <c r="D135">
        <v>1.23</v>
      </c>
      <c r="E135">
        <v>18.239999999999998</v>
      </c>
      <c r="F135">
        <f>K22*K7</f>
        <v>31.046046243135429</v>
      </c>
      <c r="G135">
        <f>F135/E135*D135</f>
        <v>2.0935656183693299</v>
      </c>
      <c r="H135">
        <f>F135-G135</f>
        <v>28.9524806247661</v>
      </c>
      <c r="I135">
        <f>F135/E135</f>
        <v>1.7020858685929512</v>
      </c>
      <c r="J135" s="3">
        <f>$C$46*(1-$K$13)+$C$64*$K$13</f>
        <v>6944412674.8181</v>
      </c>
      <c r="K135" s="3">
        <f t="shared" ref="K135:K147" si="116">J135*I135</f>
        <v>11819986679.485664</v>
      </c>
      <c r="L135" s="37">
        <v>1.1000000000000001</v>
      </c>
      <c r="M135" s="39">
        <f t="shared" ref="M135:M147" si="117">K135*L135</f>
        <v>13001985347.434233</v>
      </c>
      <c r="N135" s="72">
        <f>IF($L$19="OFF", M135, M135*(1+DPM_DB!$B$25))</f>
        <v>13882119740.183628</v>
      </c>
    </row>
    <row r="136" spans="1:18">
      <c r="C136" t="s">
        <v>282</v>
      </c>
      <c r="D136">
        <v>1.26</v>
      </c>
      <c r="E136">
        <f>D136</f>
        <v>1.26</v>
      </c>
      <c r="F136">
        <f>H135</f>
        <v>28.9524806247661</v>
      </c>
      <c r="G136">
        <f>F136</f>
        <v>28.9524806247661</v>
      </c>
      <c r="H136">
        <f>H135-G136</f>
        <v>0</v>
      </c>
      <c r="I136">
        <f>G136/E136</f>
        <v>22.978159226004841</v>
      </c>
      <c r="J136" s="3">
        <f>($C$38+$C$39+$C$40+$C$41)*(1-$K$13)+($C$56+$C$57+$C$58+$C$59)*$K$13</f>
        <v>22350208033.746357</v>
      </c>
      <c r="K136" s="3">
        <f t="shared" si="116"/>
        <v>513566638933.75635</v>
      </c>
      <c r="L136" s="48">
        <v>1</v>
      </c>
      <c r="M136" s="39">
        <f t="shared" si="117"/>
        <v>513566638933.75635</v>
      </c>
      <c r="N136" s="72">
        <f>IF($L$19="OFF", M136, M136*(1+DPM_DB!$B$25))</f>
        <v>548331149876.96448</v>
      </c>
    </row>
    <row r="137" spans="1:18">
      <c r="C137" t="s">
        <v>283</v>
      </c>
      <c r="I137">
        <f>IF($L$7="OFF", 0, 60/$D$7*7)</f>
        <v>3.6842105263157894</v>
      </c>
      <c r="J137" s="3">
        <f>$C$42*(1-$K$13)+$C$60*$K$13</f>
        <v>5898383683.7031336</v>
      </c>
      <c r="K137" s="3">
        <f t="shared" si="116"/>
        <v>21730887255.748386</v>
      </c>
      <c r="L137" s="37">
        <v>1.1000000000000001</v>
      </c>
      <c r="M137" s="39">
        <f t="shared" si="117"/>
        <v>23903975981.323227</v>
      </c>
      <c r="N137" s="72">
        <f>IF($L$19="OFF", M137, M137*(1+DPM_DB!$B$25))</f>
        <v>25522091278.520493</v>
      </c>
    </row>
    <row r="138" spans="1:18">
      <c r="C138" t="s">
        <v>191</v>
      </c>
      <c r="I138">
        <f>60/$D$12</f>
        <v>0.52631578947368418</v>
      </c>
      <c r="J138" s="3">
        <f>$C$49*(1-$K$13)+$C$67*$K$13</f>
        <v>216058644207.70926</v>
      </c>
      <c r="K138" s="3">
        <f t="shared" si="116"/>
        <v>113715075898.79434</v>
      </c>
      <c r="L138" s="37">
        <v>1.1000000000000001</v>
      </c>
      <c r="M138" s="39">
        <f t="shared" si="117"/>
        <v>125086583488.67378</v>
      </c>
      <c r="N138" s="72">
        <f>IF($L$19="OFF", M138, M138*(1+DPM_DB!$B$26))</f>
        <v>138846107672.42792</v>
      </c>
    </row>
    <row r="139" spans="1:18">
      <c r="C139" t="s">
        <v>284</v>
      </c>
      <c r="I139">
        <f>60/$D$11*$K$7</f>
        <v>0.32737345756736336</v>
      </c>
      <c r="J139" s="3">
        <f>$C$48*(1-$K$13)+$C$66*$K$13</f>
        <v>141029633755.17624</v>
      </c>
      <c r="K139" s="3">
        <f t="shared" si="116"/>
        <v>46169358821.890984</v>
      </c>
      <c r="L139" s="37">
        <v>1.1000000000000001</v>
      </c>
      <c r="M139" s="39">
        <f t="shared" si="117"/>
        <v>50786294704.080086</v>
      </c>
      <c r="N139" s="72">
        <f>IF($L$19="OFF", M139, M139*(1+DPM_DB!$B$25))</f>
        <v>54224136191.740891</v>
      </c>
    </row>
    <row r="140" spans="1:18">
      <c r="C140" t="s">
        <v>257</v>
      </c>
      <c r="F140">
        <f>60*$K$7</f>
        <v>34.210526315789473</v>
      </c>
      <c r="I140">
        <f>F140/0.5</f>
        <v>68.421052631578945</v>
      </c>
      <c r="J140" s="3">
        <f>$C$44*(1-$K$13)+$C$62*$K$13</f>
        <v>486490448.37324584</v>
      </c>
      <c r="K140" s="3">
        <f t="shared" si="116"/>
        <v>33286188572.906292</v>
      </c>
      <c r="L140" s="37">
        <v>1.1000000000000001</v>
      </c>
      <c r="M140" s="39">
        <f t="shared" si="117"/>
        <v>36614807430.196922</v>
      </c>
      <c r="N140" s="72">
        <f>IF($L$19="OFF", M140, M140*(1+DPM_DB!$B$25))</f>
        <v>39093348240.856407</v>
      </c>
    </row>
    <row r="141" spans="1:18">
      <c r="C141" t="s">
        <v>285</v>
      </c>
      <c r="I141">
        <f>IF($L$18="OFF", 0, 60/$D$18*$K$7)</f>
        <v>0.1440443213296399</v>
      </c>
      <c r="J141" s="3">
        <f>$C$52*(1-$K$13)+$C$70*$K$13</f>
        <v>49864875580.963188</v>
      </c>
      <c r="K141" s="3">
        <f t="shared" si="116"/>
        <v>7182752161.2467756</v>
      </c>
      <c r="L141" s="37">
        <v>1.1000000000000001</v>
      </c>
      <c r="M141" s="39">
        <f t="shared" si="117"/>
        <v>7901027377.3714542</v>
      </c>
      <c r="N141" s="72">
        <f>IF($L$19="OFF", M141, M141*(1+DPM_DB!$B$25))</f>
        <v>8435866153.6858301</v>
      </c>
    </row>
    <row r="142" spans="1:18" s="71" customFormat="1">
      <c r="C142" s="71" t="s">
        <v>452</v>
      </c>
      <c r="I142" s="71">
        <f>IF($L$19="OFF",0,60*INT(($E$19-1)/(4+$I$31))/$D$19)/4</f>
        <v>1.1842105263157894</v>
      </c>
      <c r="J142" s="72">
        <f>$C$71*$K$13+$C$53*(1-$K$13)</f>
        <v>14079494281.683723</v>
      </c>
      <c r="K142" s="72">
        <f t="shared" si="116"/>
        <v>16673085333.572828</v>
      </c>
      <c r="L142" s="37">
        <v>1.1000000000000001</v>
      </c>
      <c r="M142" s="39">
        <f t="shared" si="117"/>
        <v>18340393866.930111</v>
      </c>
      <c r="N142" s="72">
        <f>IF($L$19="OFF", M142, M142*(1+DPM_DB!$B$26))</f>
        <v>20357837192.292423</v>
      </c>
      <c r="R142" s="177"/>
    </row>
    <row r="143" spans="1:18" s="106" customFormat="1">
      <c r="C143" s="106" t="s">
        <v>553</v>
      </c>
      <c r="I143" s="106">
        <f>IF($L$7="ON",$I$89/($I$89*4+$I$88)*$K$13*60/DPM_DB!$D$21*$K$7,0)</f>
        <v>1.3220851170989676</v>
      </c>
      <c r="J143" s="105">
        <f>$C$77</f>
        <v>5674185952.7033215</v>
      </c>
      <c r="K143" s="105">
        <f t="shared" si="116"/>
        <v>7501756799.7210875</v>
      </c>
      <c r="L143" s="153">
        <v>1.1000000000000001</v>
      </c>
      <c r="M143" s="39">
        <f t="shared" si="117"/>
        <v>8251932479.6931973</v>
      </c>
      <c r="N143" s="105">
        <f>IF($L$19="OFF", M143, M143*(1+DPM_DB!$B$25))</f>
        <v>8810524832.1647377</v>
      </c>
      <c r="R143" s="177"/>
    </row>
    <row r="144" spans="1:18" s="106" customFormat="1">
      <c r="C144" s="106" t="s">
        <v>554</v>
      </c>
      <c r="I144" s="191">
        <f>IF($L$7="ON",$I$89/($I$89*4+$I$88)*$K$13*60/DPM_DB!$D$21*$K$7,0)</f>
        <v>1.3220851170989676</v>
      </c>
      <c r="J144" s="105">
        <f>$C$78</f>
        <v>5674185952.7033215</v>
      </c>
      <c r="K144" s="105">
        <f t="shared" si="116"/>
        <v>7501756799.7210875</v>
      </c>
      <c r="L144" s="153">
        <v>1.1000000000000001</v>
      </c>
      <c r="M144" s="39">
        <f t="shared" si="117"/>
        <v>8251932479.6931973</v>
      </c>
      <c r="N144" s="105">
        <f>IF($L$19="OFF", M144, M144*(1+DPM_DB!$B$25))</f>
        <v>8810524832.1647377</v>
      </c>
      <c r="R144" s="177"/>
    </row>
    <row r="145" spans="1:18" s="106" customFormat="1">
      <c r="C145" s="106" t="s">
        <v>555</v>
      </c>
      <c r="I145" s="191">
        <f>IF($L$7="ON",$I$89/($I$89*4+$I$88)*$K$13*60/DPM_DB!$D$21*$K$7,0)</f>
        <v>1.3220851170989676</v>
      </c>
      <c r="J145" s="105">
        <f>$C$79</f>
        <v>5674185952.7033215</v>
      </c>
      <c r="K145" s="105">
        <f t="shared" si="116"/>
        <v>7501756799.7210875</v>
      </c>
      <c r="L145" s="153">
        <v>1.1000000000000001</v>
      </c>
      <c r="M145" s="39">
        <f t="shared" si="117"/>
        <v>8251932479.6931973</v>
      </c>
      <c r="N145" s="105">
        <f>IF($L$19="OFF", M145, M145*(1+DPM_DB!$B$25))</f>
        <v>8810524832.1647377</v>
      </c>
      <c r="R145" s="177"/>
    </row>
    <row r="146" spans="1:18" s="106" customFormat="1">
      <c r="C146" s="106" t="s">
        <v>556</v>
      </c>
      <c r="I146" s="191">
        <f>IF($L$7="ON",$I$89/($I$89*4+$I$88)*$K$13*60/DPM_DB!$D$21*$K$7,0)</f>
        <v>1.3220851170989676</v>
      </c>
      <c r="J146" s="105">
        <f>$C$80</f>
        <v>5674185952.7033215</v>
      </c>
      <c r="K146" s="105">
        <f t="shared" si="116"/>
        <v>7501756799.7210875</v>
      </c>
      <c r="L146" s="153">
        <v>1.1000000000000001</v>
      </c>
      <c r="M146" s="39">
        <f t="shared" si="117"/>
        <v>8251932479.6931973</v>
      </c>
      <c r="N146" s="105">
        <f>IF($L$19="OFF", M146, M146*(1+DPM_DB!$B$25))</f>
        <v>8810524832.1647377</v>
      </c>
      <c r="R146" s="177"/>
    </row>
    <row r="147" spans="1:18" s="106" customFormat="1">
      <c r="C147" s="106" t="s">
        <v>557</v>
      </c>
      <c r="I147" s="106">
        <f>IF($L$7="ON",$I$88/($I$89*4+$I$88)*$K$13*60/DPM_DB!$D$21*$K$7,0)</f>
        <v>9.7932230896219816E-2</v>
      </c>
      <c r="J147" s="105">
        <f>$C$76</f>
        <v>5674185952.7033215</v>
      </c>
      <c r="K147" s="105">
        <f t="shared" si="116"/>
        <v>555685688.86822867</v>
      </c>
      <c r="L147" s="37">
        <v>1.1000000000000001</v>
      </c>
      <c r="M147" s="39">
        <f t="shared" si="117"/>
        <v>611254257.75505161</v>
      </c>
      <c r="N147" s="105">
        <f>IF($L$19="OFF", M147, M147*(1+DPM_DB!$B$25))</f>
        <v>652631469.04923975</v>
      </c>
      <c r="R147" s="177"/>
    </row>
    <row r="148" spans="1:18">
      <c r="J148" s="3"/>
      <c r="K148" s="3"/>
      <c r="L148" s="37"/>
      <c r="M148" s="39"/>
      <c r="N148" s="72"/>
    </row>
    <row r="149" spans="1:18">
      <c r="B149" t="s">
        <v>286</v>
      </c>
      <c r="C149" t="s">
        <v>310</v>
      </c>
      <c r="D149">
        <v>0.66</v>
      </c>
      <c r="F149" s="44">
        <f>$K$22-F135</f>
        <v>23.403942552517478</v>
      </c>
      <c r="I149">
        <f>F149/(D149*6+D150+D151)*6</f>
        <v>27.861836372044614</v>
      </c>
      <c r="J149" s="3">
        <f>$C$37*(1-$K$13)+$C$55*$K$13</f>
        <v>6969311287.3092661</v>
      </c>
      <c r="K149" s="3">
        <f t="shared" ref="K149:K156" si="118">J149*I149</f>
        <v>194177810712.85437</v>
      </c>
      <c r="L149" s="37">
        <v>1.1000000000000001</v>
      </c>
      <c r="M149" s="39">
        <f t="shared" ref="M149:M154" si="119">K149*L149</f>
        <v>213595591784.13983</v>
      </c>
      <c r="N149" s="72">
        <f>M149</f>
        <v>213595591784.13983</v>
      </c>
    </row>
    <row r="150" spans="1:18">
      <c r="C150" t="s">
        <v>288</v>
      </c>
      <c r="D150">
        <v>0.69</v>
      </c>
      <c r="I150">
        <f>I149/6</f>
        <v>4.6436393953407693</v>
      </c>
      <c r="J150" s="3">
        <f>$C$43*(1-$K$13)+$C$61*$K$13</f>
        <v>4526729679.8121586</v>
      </c>
      <c r="K150" s="3">
        <f t="shared" si="118"/>
        <v>21020500273.234047</v>
      </c>
      <c r="L150" s="37">
        <v>1.1000000000000001</v>
      </c>
      <c r="M150" s="39">
        <f t="shared" si="119"/>
        <v>23122550300.557453</v>
      </c>
      <c r="N150" s="72">
        <f t="shared" ref="N150:N154" si="120">M150</f>
        <v>23122550300.557453</v>
      </c>
    </row>
    <row r="151" spans="1:18">
      <c r="C151" t="s">
        <v>311</v>
      </c>
      <c r="D151">
        <v>0.39</v>
      </c>
      <c r="I151">
        <f>I150</f>
        <v>4.6436393953407693</v>
      </c>
      <c r="J151" s="3">
        <f>$C$50*(1-$K$13)+$C$68*$K$13</f>
        <v>537362931.20120478</v>
      </c>
      <c r="K151" s="3">
        <f t="shared" si="118"/>
        <v>2495319676.9217062</v>
      </c>
      <c r="L151" s="48">
        <v>1</v>
      </c>
      <c r="M151" s="39">
        <f t="shared" si="119"/>
        <v>2495319676.9217062</v>
      </c>
      <c r="N151" s="72">
        <f t="shared" si="120"/>
        <v>2495319676.9217062</v>
      </c>
    </row>
    <row r="152" spans="1:18">
      <c r="C152" t="s">
        <v>289</v>
      </c>
      <c r="I152">
        <f>60/$D$11*(1-$K$7)</f>
        <v>0.24678922185847393</v>
      </c>
      <c r="J152" s="3">
        <f>$C$47*(1-$K$13)+$C$65*$K$13</f>
        <v>137805441751.74487</v>
      </c>
      <c r="K152" s="3">
        <f t="shared" si="118"/>
        <v>34008897737.776371</v>
      </c>
      <c r="L152" s="37">
        <v>1.1000000000000001</v>
      </c>
      <c r="M152" s="39">
        <f t="shared" si="119"/>
        <v>37409787511.554008</v>
      </c>
      <c r="N152" s="72">
        <f t="shared" si="120"/>
        <v>37409787511.554008</v>
      </c>
    </row>
    <row r="153" spans="1:18">
      <c r="C153" t="s">
        <v>193</v>
      </c>
      <c r="D153">
        <v>0.5</v>
      </c>
      <c r="F153">
        <f>60-F140</f>
        <v>25.789473684210527</v>
      </c>
      <c r="I153">
        <f>F153/D153</f>
        <v>51.578947368421055</v>
      </c>
      <c r="J153" s="3">
        <f>$C$45*(1-$K$13)+$C$63*$K$13</f>
        <v>369823912.58700734</v>
      </c>
      <c r="K153" s="3">
        <f t="shared" si="118"/>
        <v>19075128122.908802</v>
      </c>
      <c r="L153" s="37">
        <v>1.1000000000000001</v>
      </c>
      <c r="M153" s="39">
        <f t="shared" si="119"/>
        <v>20982640935.199684</v>
      </c>
      <c r="N153" s="72">
        <f t="shared" si="120"/>
        <v>20982640935.199684</v>
      </c>
    </row>
    <row r="154" spans="1:18">
      <c r="C154" t="s">
        <v>290</v>
      </c>
      <c r="I154">
        <f>IF($L$18="OFF",0,60/$D$18*(1-$K$7))</f>
        <v>0.10858725761772854</v>
      </c>
      <c r="J154" s="3">
        <f>$C$51*(1-$K$13)+$C$69*$K$13</f>
        <v>37889621128.273811</v>
      </c>
      <c r="K154" s="3">
        <f t="shared" si="118"/>
        <v>4114330050.4939985</v>
      </c>
      <c r="L154" s="37">
        <v>1.1000000000000001</v>
      </c>
      <c r="M154" s="39">
        <f t="shared" si="119"/>
        <v>4525763055.5433989</v>
      </c>
      <c r="N154" s="72">
        <f t="shared" si="120"/>
        <v>4525763055.5433989</v>
      </c>
    </row>
    <row r="155" spans="1:18" s="106" customFormat="1">
      <c r="C155" s="106" t="s">
        <v>558</v>
      </c>
      <c r="F155" s="44"/>
      <c r="I155" s="106">
        <f>$I$149/($I$149+$I$150+$I$151)*$K$13*60/7.5*(1-$K$7)</f>
        <v>2.1114188981224991</v>
      </c>
      <c r="J155" s="105">
        <f>$C$74</f>
        <v>4297324602.7287331</v>
      </c>
      <c r="K155" s="105">
        <f t="shared" si="118"/>
        <v>9073452377.5682068</v>
      </c>
      <c r="L155" s="37">
        <v>1.1000000000000001</v>
      </c>
      <c r="M155" s="39">
        <f t="shared" ref="M155:M156" si="121">K155*L155</f>
        <v>9980797615.3250275</v>
      </c>
      <c r="N155" s="105">
        <f t="shared" ref="N155:N156" si="122">M155</f>
        <v>9980797615.3250275</v>
      </c>
      <c r="R155" s="177"/>
    </row>
    <row r="156" spans="1:18" s="106" customFormat="1">
      <c r="C156" s="106" t="s">
        <v>559</v>
      </c>
      <c r="F156" s="44"/>
      <c r="I156" s="106">
        <f>$I$150/($I$149+$I$150+$I$151)*$K$13*60/DPM_DB!$D$21*(1-$K$7)</f>
        <v>0.50755261974098531</v>
      </c>
      <c r="J156" s="105">
        <f>$C$75</f>
        <v>4297324602.7287331</v>
      </c>
      <c r="K156" s="105">
        <f t="shared" si="118"/>
        <v>2181118359.9923573</v>
      </c>
      <c r="L156" s="37">
        <v>1.1000000000000001</v>
      </c>
      <c r="M156" s="39">
        <f t="shared" si="121"/>
        <v>2399230195.9915934</v>
      </c>
      <c r="N156" s="105">
        <f t="shared" si="122"/>
        <v>2399230195.9915934</v>
      </c>
      <c r="R156" s="177"/>
    </row>
    <row r="157" spans="1:18" s="106" customFormat="1">
      <c r="C157" s="106" t="s">
        <v>561</v>
      </c>
      <c r="F157" s="44"/>
      <c r="I157" s="106">
        <f>$I$151/($I$149+$I$150+$I$151)*$K$13*60/DPM_DB!$D$21*(1-$K$7)</f>
        <v>0.50755261974098531</v>
      </c>
      <c r="J157" s="105">
        <f>$C$81</f>
        <v>4297324602.7287331</v>
      </c>
      <c r="K157" s="105">
        <f t="shared" ref="K157" si="123">J157*I157</f>
        <v>2181118359.9923573</v>
      </c>
      <c r="L157" s="153">
        <v>1.1000000000000001</v>
      </c>
      <c r="M157" s="39">
        <f t="shared" ref="M157" si="124">K157*L157</f>
        <v>2399230195.9915934</v>
      </c>
      <c r="N157" s="105">
        <f t="shared" ref="N157" si="125">M157</f>
        <v>2399230195.9915934</v>
      </c>
      <c r="R157" s="177"/>
    </row>
    <row r="158" spans="1:18">
      <c r="J158" s="3"/>
      <c r="K158" s="3"/>
    </row>
    <row r="159" spans="1:18">
      <c r="D159" s="204" t="s">
        <v>291</v>
      </c>
      <c r="E159" s="204"/>
      <c r="F159" t="s">
        <v>292</v>
      </c>
    </row>
    <row r="160" spans="1:18">
      <c r="A160" t="s">
        <v>312</v>
      </c>
      <c r="C160" t="s">
        <v>294</v>
      </c>
      <c r="D160" s="203">
        <f>N136</f>
        <v>548331149876.96448</v>
      </c>
      <c r="E160" s="204"/>
      <c r="F160" s="33">
        <f t="shared" ref="F160:F170" si="126">D160/$D$173</f>
        <v>0.45637280602064895</v>
      </c>
    </row>
    <row r="161" spans="3:18">
      <c r="C161" t="s">
        <v>295</v>
      </c>
      <c r="D161" s="203">
        <f>N137</f>
        <v>25522091278.520493</v>
      </c>
      <c r="E161" s="204"/>
      <c r="F161" s="33">
        <f t="shared" si="126"/>
        <v>2.1241887160536176E-2</v>
      </c>
    </row>
    <row r="162" spans="3:18">
      <c r="C162" t="s">
        <v>296</v>
      </c>
      <c r="D162" s="203">
        <f>N149</f>
        <v>213595591784.13983</v>
      </c>
      <c r="E162" s="204"/>
      <c r="F162" s="33">
        <f t="shared" si="126"/>
        <v>0.17777436061774263</v>
      </c>
    </row>
    <row r="163" spans="3:18">
      <c r="C163" t="s">
        <v>297</v>
      </c>
      <c r="D163" s="203">
        <f>N139+N152</f>
        <v>91633923703.294891</v>
      </c>
      <c r="E163" s="204"/>
      <c r="F163" s="33">
        <f t="shared" si="126"/>
        <v>7.6266378257989209E-2</v>
      </c>
    </row>
    <row r="164" spans="3:18">
      <c r="C164" t="s">
        <v>298</v>
      </c>
      <c r="D164" s="203">
        <f>N150</f>
        <v>23122550300.557453</v>
      </c>
      <c r="E164" s="204"/>
      <c r="F164" s="33">
        <f t="shared" si="126"/>
        <v>1.9244763251890385E-2</v>
      </c>
    </row>
    <row r="165" spans="3:18">
      <c r="C165" t="s">
        <v>299</v>
      </c>
      <c r="D165" s="203">
        <f>N140+N153</f>
        <v>60075989176.056091</v>
      </c>
      <c r="E165" s="204"/>
      <c r="F165" s="33">
        <f t="shared" si="126"/>
        <v>5.0000894096377237E-2</v>
      </c>
    </row>
    <row r="166" spans="3:18">
      <c r="C166" t="s">
        <v>281</v>
      </c>
      <c r="D166" s="203">
        <f>N135</f>
        <v>13882119740.183628</v>
      </c>
      <c r="E166" s="204"/>
      <c r="F166" s="33">
        <f t="shared" si="126"/>
        <v>1.1554006991511968E-2</v>
      </c>
    </row>
    <row r="167" spans="3:18">
      <c r="C167" t="s">
        <v>191</v>
      </c>
      <c r="D167" s="203">
        <f>N138</f>
        <v>138846107672.42792</v>
      </c>
      <c r="E167" s="204"/>
      <c r="F167" s="33">
        <f t="shared" si="126"/>
        <v>0.11556080258750423</v>
      </c>
    </row>
    <row r="168" spans="3:18">
      <c r="C168" t="s">
        <v>313</v>
      </c>
      <c r="D168" s="203">
        <f>N151</f>
        <v>2495319676.9217062</v>
      </c>
      <c r="E168" s="204"/>
      <c r="F168" s="33">
        <f t="shared" si="126"/>
        <v>2.0768399590846212E-3</v>
      </c>
    </row>
    <row r="169" spans="3:18">
      <c r="C169" t="s">
        <v>197</v>
      </c>
      <c r="D169" s="203">
        <f>N141+N154</f>
        <v>12961629209.229229</v>
      </c>
      <c r="E169" s="204"/>
      <c r="F169" s="33">
        <f t="shared" si="126"/>
        <v>1.078788811130362E-2</v>
      </c>
    </row>
    <row r="170" spans="3:18" s="71" customFormat="1">
      <c r="C170" s="71" t="s">
        <v>450</v>
      </c>
      <c r="D170" s="203">
        <f>N142</f>
        <v>20357837192.292423</v>
      </c>
      <c r="E170" s="204"/>
      <c r="F170" s="33">
        <f t="shared" si="126"/>
        <v>1.6943708716972764E-2</v>
      </c>
      <c r="R170" s="177"/>
    </row>
    <row r="171" spans="3:18" s="106" customFormat="1">
      <c r="C171" s="106" t="s">
        <v>562</v>
      </c>
      <c r="D171" s="203">
        <f>SUM(N143:N147)+SUM(N155:N157)</f>
        <v>50673988805.016403</v>
      </c>
      <c r="E171" s="204"/>
      <c r="F171" s="33">
        <f t="shared" ref="F171" si="127">D171/$D$173</f>
        <v>4.2175664228438221E-2</v>
      </c>
      <c r="R171" s="177"/>
    </row>
    <row r="172" spans="3:18">
      <c r="D172" s="197"/>
      <c r="E172" s="197"/>
    </row>
    <row r="173" spans="3:18">
      <c r="C173" t="s">
        <v>300</v>
      </c>
      <c r="D173" s="205">
        <f>SUM(D160:E172)</f>
        <v>1201498298415.6045</v>
      </c>
      <c r="E173" s="206"/>
      <c r="F173" s="33">
        <f>SUM(F160:F172)</f>
        <v>1</v>
      </c>
    </row>
    <row r="174" spans="3:18">
      <c r="C174" t="s">
        <v>314</v>
      </c>
      <c r="D174" s="207">
        <f>D173/D124-1</f>
        <v>3.2534942430659353E-2</v>
      </c>
      <c r="E174" s="207"/>
      <c r="F174" s="207"/>
    </row>
    <row r="175" spans="3:18">
      <c r="C175" s="196" t="s">
        <v>565</v>
      </c>
      <c r="D175" s="196"/>
      <c r="E175" s="196"/>
      <c r="F175" s="196"/>
    </row>
    <row r="176" spans="3:18">
      <c r="C176" s="196" t="s">
        <v>301</v>
      </c>
      <c r="D176" s="196"/>
      <c r="E176" s="196"/>
      <c r="F176" s="196"/>
    </row>
    <row r="177" spans="1:18">
      <c r="D177" s="3"/>
      <c r="F177" s="33"/>
    </row>
    <row r="179" spans="1:18">
      <c r="A179" t="s">
        <v>302</v>
      </c>
      <c r="C179" t="s">
        <v>303</v>
      </c>
    </row>
    <row r="180" spans="1:18">
      <c r="C180" t="s">
        <v>481</v>
      </c>
    </row>
    <row r="183" spans="1:18">
      <c r="A183" t="s">
        <v>315</v>
      </c>
      <c r="B183" t="s">
        <v>316</v>
      </c>
    </row>
    <row r="184" spans="1:18">
      <c r="C184" t="s">
        <v>221</v>
      </c>
      <c r="D184" t="s">
        <v>272</v>
      </c>
      <c r="E184" t="s">
        <v>273</v>
      </c>
      <c r="F184" t="s">
        <v>274</v>
      </c>
      <c r="G184" t="s">
        <v>275</v>
      </c>
      <c r="H184" t="s">
        <v>276</v>
      </c>
      <c r="I184" t="s">
        <v>277</v>
      </c>
      <c r="J184" t="s">
        <v>278</v>
      </c>
      <c r="K184" t="s">
        <v>307</v>
      </c>
      <c r="L184" t="s">
        <v>308</v>
      </c>
      <c r="M184" t="s">
        <v>309</v>
      </c>
      <c r="N184" s="71" t="s">
        <v>453</v>
      </c>
    </row>
    <row r="185" spans="1:18">
      <c r="B185" t="s">
        <v>280</v>
      </c>
      <c r="C185" t="s">
        <v>281</v>
      </c>
      <c r="D185">
        <v>1.23</v>
      </c>
      <c r="E185">
        <v>18</v>
      </c>
      <c r="F185">
        <f>K22*K7</f>
        <v>31.046046243135429</v>
      </c>
      <c r="G185">
        <f>F185/E185*D185</f>
        <v>2.1214798266142543</v>
      </c>
      <c r="H185">
        <f>F185-G185</f>
        <v>28.924566416521174</v>
      </c>
      <c r="I185">
        <f>F185/E185</f>
        <v>1.7247803468408571</v>
      </c>
      <c r="J185" s="3">
        <f>$C$46*(1-$K$13)+$C$64*$K$13</f>
        <v>6944412674.8181</v>
      </c>
      <c r="K185" s="3">
        <f t="shared" ref="K185:K197" si="128">J185*I185</f>
        <v>11977586501.878807</v>
      </c>
      <c r="L185" s="35">
        <v>1.1000000000000001</v>
      </c>
      <c r="M185" s="39">
        <f t="shared" ref="M185:M192" si="129">K185*L185</f>
        <v>13175345152.066689</v>
      </c>
      <c r="N185" s="72">
        <f>IF($L$19="OFF", M185, M185*(1+DPM_DB!$B$25))</f>
        <v>14067214670.052742</v>
      </c>
    </row>
    <row r="186" spans="1:18">
      <c r="C186" t="s">
        <v>282</v>
      </c>
      <c r="D186">
        <v>1.26</v>
      </c>
      <c r="E186">
        <f>D186</f>
        <v>1.26</v>
      </c>
      <c r="F186">
        <f>H185</f>
        <v>28.924566416521174</v>
      </c>
      <c r="G186">
        <f>F186</f>
        <v>28.924566416521174</v>
      </c>
      <c r="H186">
        <f>H185-G186</f>
        <v>0</v>
      </c>
      <c r="I186">
        <f>G186/E186</f>
        <v>22.95600509247712</v>
      </c>
      <c r="J186" s="3">
        <f>($C$38+$C$39+$C$40+$C$41)*(1-$K$13)+($C$56+$C$57+$C$58+$C$59)*$K$13</f>
        <v>22350208033.746357</v>
      </c>
      <c r="K186" s="3">
        <f t="shared" si="128"/>
        <v>513071489440.60443</v>
      </c>
      <c r="L186" s="37">
        <v>1</v>
      </c>
      <c r="M186" s="39">
        <f t="shared" si="129"/>
        <v>513071489440.60443</v>
      </c>
      <c r="N186" s="72">
        <f>IF($L$19="OFF", M186, M186*(1+DPM_DB!$B$25))</f>
        <v>547802482571.96844</v>
      </c>
    </row>
    <row r="187" spans="1:18">
      <c r="C187" t="s">
        <v>283</v>
      </c>
      <c r="I187">
        <f>IF($L$7="OFF", 0, 60/$D$7*7)</f>
        <v>3.6842105263157894</v>
      </c>
      <c r="J187" s="3">
        <f>$C$42*(1-$K$13)+$C$60*$K$13</f>
        <v>5898383683.7031336</v>
      </c>
      <c r="K187" s="3">
        <f t="shared" si="128"/>
        <v>21730887255.748386</v>
      </c>
      <c r="L187" s="35">
        <v>1.1000000000000001</v>
      </c>
      <c r="M187" s="39">
        <f t="shared" si="129"/>
        <v>23903975981.323227</v>
      </c>
      <c r="N187" s="72">
        <f>IF($L$19="OFF", M187, M187*(1+DPM_DB!$B$25))</f>
        <v>25522091278.520493</v>
      </c>
    </row>
    <row r="188" spans="1:18">
      <c r="C188" t="s">
        <v>191</v>
      </c>
      <c r="I188">
        <f>60/$D$12</f>
        <v>0.52631578947368418</v>
      </c>
      <c r="J188" s="3">
        <f>$C$49*(1-$K$13)+$C$67*$K$13</f>
        <v>216058644207.70926</v>
      </c>
      <c r="K188" s="3">
        <f t="shared" si="128"/>
        <v>113715075898.79434</v>
      </c>
      <c r="L188" s="35">
        <v>1.1000000000000001</v>
      </c>
      <c r="M188" s="39">
        <f t="shared" si="129"/>
        <v>125086583488.67378</v>
      </c>
      <c r="N188" s="72">
        <f>IF($L$19="OFF", M188, M188*(1+DPM_DB!$B$26))</f>
        <v>138846107672.42792</v>
      </c>
    </row>
    <row r="189" spans="1:18">
      <c r="C189" t="s">
        <v>284</v>
      </c>
      <c r="I189">
        <f>60/$D$11*$K$7</f>
        <v>0.32737345756736336</v>
      </c>
      <c r="J189" s="3">
        <f>$C$48*(1-$K$13)+$C$66*$K$13</f>
        <v>141029633755.17624</v>
      </c>
      <c r="K189" s="3">
        <f t="shared" si="128"/>
        <v>46169358821.890984</v>
      </c>
      <c r="L189" s="35">
        <v>1.1000000000000001</v>
      </c>
      <c r="M189" s="39">
        <f t="shared" si="129"/>
        <v>50786294704.080086</v>
      </c>
      <c r="N189" s="72">
        <f>IF($L$19="OFF", M189, M189*(1+DPM_DB!$B$25))</f>
        <v>54224136191.740891</v>
      </c>
    </row>
    <row r="190" spans="1:18">
      <c r="C190" t="s">
        <v>257</v>
      </c>
      <c r="F190">
        <f>60*$K$7</f>
        <v>34.210526315789473</v>
      </c>
      <c r="I190">
        <f>F190/0.5</f>
        <v>68.421052631578945</v>
      </c>
      <c r="J190" s="3">
        <f>$C$44*(1-$K$13)+$C$62*$K$13</f>
        <v>486490448.37324584</v>
      </c>
      <c r="K190" s="3">
        <f t="shared" si="128"/>
        <v>33286188572.906292</v>
      </c>
      <c r="L190" s="35">
        <v>1.1000000000000001</v>
      </c>
      <c r="M190" s="39">
        <f t="shared" si="129"/>
        <v>36614807430.196922</v>
      </c>
      <c r="N190" s="72">
        <f>IF($L$19="OFF", M190, M190*(1+DPM_DB!$B$25))</f>
        <v>39093348240.856407</v>
      </c>
    </row>
    <row r="191" spans="1:18">
      <c r="C191" t="s">
        <v>285</v>
      </c>
      <c r="I191">
        <f>IF($L$18="OFF", 0, 60/$D$18*$K$7)</f>
        <v>0.1440443213296399</v>
      </c>
      <c r="J191" s="3">
        <f>$C$52*(1-$K$13)+$C$70*$K$13</f>
        <v>49864875580.963188</v>
      </c>
      <c r="K191" s="3">
        <f t="shared" si="128"/>
        <v>7182752161.2467756</v>
      </c>
      <c r="L191" s="35">
        <v>1.1000000000000001</v>
      </c>
      <c r="M191" s="39">
        <f t="shared" si="129"/>
        <v>7901027377.3714542</v>
      </c>
      <c r="N191" s="72">
        <f>IF($L$19="OFF", M191, M191*(1+DPM_DB!$B$25))</f>
        <v>8435866153.6858301</v>
      </c>
    </row>
    <row r="192" spans="1:18" s="71" customFormat="1">
      <c r="C192" s="71" t="s">
        <v>452</v>
      </c>
      <c r="I192" s="71">
        <f>IF($L$19="OFF",0,60*INT(($E$19-1)/(4+$I$31))/$D$19)/4</f>
        <v>1.1842105263157894</v>
      </c>
      <c r="J192" s="72">
        <f>$C$71*$K$13+$C$53*(1-$K$13)</f>
        <v>14079494281.683723</v>
      </c>
      <c r="K192" s="72">
        <f t="shared" si="128"/>
        <v>16673085333.572828</v>
      </c>
      <c r="L192" s="35">
        <v>1.1000000000000001</v>
      </c>
      <c r="M192" s="39">
        <f t="shared" si="129"/>
        <v>18340393866.930111</v>
      </c>
      <c r="N192" s="72">
        <f>IF($L$19="OFF", M192, M192*(1+DPM_DB!$B$26))</f>
        <v>20357837192.292423</v>
      </c>
      <c r="R192" s="177"/>
    </row>
    <row r="193" spans="2:18" s="106" customFormat="1">
      <c r="C193" s="106" t="s">
        <v>553</v>
      </c>
      <c r="I193" s="106">
        <f>IF($L$7="ON",$I$89/($I$89*4+$I$88)*$K$13*60/DPM_DB!$D$21*$K$7,0)</f>
        <v>1.3220851170989676</v>
      </c>
      <c r="J193" s="105">
        <f>$C$77</f>
        <v>5674185952.7033215</v>
      </c>
      <c r="K193" s="107">
        <f t="shared" si="128"/>
        <v>7501756799.7210875</v>
      </c>
      <c r="L193" s="154">
        <v>1.1000000000000001</v>
      </c>
      <c r="M193" s="39">
        <f t="shared" ref="M193:M197" si="130">K193*L193</f>
        <v>8251932479.6931973</v>
      </c>
      <c r="N193" s="107">
        <f>IF($L$19="OFF", M193, M193*(1+DPM_DB!$B$25))</f>
        <v>8810524832.1647377</v>
      </c>
      <c r="R193" s="177"/>
    </row>
    <row r="194" spans="2:18" s="106" customFormat="1">
      <c r="C194" s="106" t="s">
        <v>554</v>
      </c>
      <c r="I194" s="191">
        <f>IF($L$7="ON",$I$89/($I$89*4+$I$88)*$K$13*60/DPM_DB!$D$21*$K$7,0)</f>
        <v>1.3220851170989676</v>
      </c>
      <c r="J194" s="105">
        <f>$C$78</f>
        <v>5674185952.7033215</v>
      </c>
      <c r="K194" s="107">
        <f t="shared" si="128"/>
        <v>7501756799.7210875</v>
      </c>
      <c r="L194" s="154">
        <v>1.1000000000000001</v>
      </c>
      <c r="M194" s="39">
        <f t="shared" si="130"/>
        <v>8251932479.6931973</v>
      </c>
      <c r="N194" s="107">
        <f>IF($L$19="OFF", M194, M194*(1+DPM_DB!$B$25))</f>
        <v>8810524832.1647377</v>
      </c>
      <c r="R194" s="177"/>
    </row>
    <row r="195" spans="2:18" s="106" customFormat="1">
      <c r="C195" s="106" t="s">
        <v>555</v>
      </c>
      <c r="I195" s="191">
        <f>IF($L$7="ON",$I$89/($I$89*4+$I$88)*$K$13*60/DPM_DB!$D$21*$K$7,0)</f>
        <v>1.3220851170989676</v>
      </c>
      <c r="J195" s="105">
        <f>$C$79</f>
        <v>5674185952.7033215</v>
      </c>
      <c r="K195" s="107">
        <f t="shared" si="128"/>
        <v>7501756799.7210875</v>
      </c>
      <c r="L195" s="154">
        <v>1.1000000000000001</v>
      </c>
      <c r="M195" s="39">
        <f t="shared" si="130"/>
        <v>8251932479.6931973</v>
      </c>
      <c r="N195" s="107">
        <f>IF($L$19="OFF", M195, M195*(1+DPM_DB!$B$25))</f>
        <v>8810524832.1647377</v>
      </c>
      <c r="R195" s="177"/>
    </row>
    <row r="196" spans="2:18" s="106" customFormat="1">
      <c r="C196" s="106" t="s">
        <v>556</v>
      </c>
      <c r="I196" s="191">
        <f>IF($L$7="ON",$I$89/($I$89*4+$I$88)*$K$13*60/DPM_DB!$D$21*$K$7,0)</f>
        <v>1.3220851170989676</v>
      </c>
      <c r="J196" s="105">
        <f>$C$80</f>
        <v>5674185952.7033215</v>
      </c>
      <c r="K196" s="107">
        <f t="shared" si="128"/>
        <v>7501756799.7210875</v>
      </c>
      <c r="L196" s="154">
        <v>1.1000000000000001</v>
      </c>
      <c r="M196" s="39">
        <f t="shared" si="130"/>
        <v>8251932479.6931973</v>
      </c>
      <c r="N196" s="107">
        <f>IF($L$19="OFF", M196, M196*(1+DPM_DB!$B$25))</f>
        <v>8810524832.1647377</v>
      </c>
      <c r="R196" s="177"/>
    </row>
    <row r="197" spans="2:18" s="106" customFormat="1">
      <c r="C197" s="106" t="s">
        <v>557</v>
      </c>
      <c r="I197" s="106">
        <f>IF($L$7="ON",$I$88/($I$89*4+$I$88)*$K$13*60/DPM_DB!$D$21*$K$7,0)</f>
        <v>9.7932230896219816E-2</v>
      </c>
      <c r="J197" s="105">
        <f>$C$76</f>
        <v>5674185952.7033215</v>
      </c>
      <c r="K197" s="107">
        <f t="shared" si="128"/>
        <v>555685688.86822867</v>
      </c>
      <c r="L197" s="35">
        <v>1.1000000000000001</v>
      </c>
      <c r="M197" s="39">
        <f t="shared" si="130"/>
        <v>611254257.75505161</v>
      </c>
      <c r="N197" s="107">
        <f>IF($L$19="OFF", M197, M197*(1+DPM_DB!$B$25))</f>
        <v>652631469.04923975</v>
      </c>
      <c r="R197" s="177"/>
    </row>
    <row r="198" spans="2:18">
      <c r="J198" s="3"/>
      <c r="K198" s="3"/>
      <c r="L198" s="35"/>
      <c r="M198" s="39"/>
      <c r="N198" s="72"/>
    </row>
    <row r="199" spans="2:18">
      <c r="B199" t="s">
        <v>286</v>
      </c>
      <c r="C199" t="s">
        <v>287</v>
      </c>
      <c r="D199">
        <v>0.66</v>
      </c>
      <c r="F199" s="44">
        <f>$K$22-F185</f>
        <v>23.403942552517478</v>
      </c>
      <c r="I199">
        <f>F199/(D199*7+D200)*7</f>
        <v>30.852654965653922</v>
      </c>
      <c r="J199" s="3">
        <f>$C$37*(1-$K$13)+$C$55*$K$13</f>
        <v>6969311287.3092661</v>
      </c>
      <c r="K199" s="3">
        <f t="shared" ref="K199:K206" si="131">J199*I199</f>
        <v>215021756495.59015</v>
      </c>
      <c r="L199" s="37">
        <v>1</v>
      </c>
      <c r="M199" s="39">
        <f t="shared" ref="M199:M204" si="132">K199*L199</f>
        <v>215021756495.59015</v>
      </c>
      <c r="N199" s="72">
        <f>M199</f>
        <v>215021756495.59015</v>
      </c>
    </row>
    <row r="200" spans="2:18">
      <c r="C200" t="s">
        <v>288</v>
      </c>
      <c r="D200">
        <v>0.69</v>
      </c>
      <c r="I200">
        <f>I199/7</f>
        <v>4.4075221379505605</v>
      </c>
      <c r="J200" s="3">
        <f>$C$43*(1-$K$13)+$C$61*$K$13</f>
        <v>4526729679.8121586</v>
      </c>
      <c r="K200" s="3">
        <f t="shared" si="131"/>
        <v>19951661276.28994</v>
      </c>
      <c r="L200" s="37">
        <v>1</v>
      </c>
      <c r="M200" s="39">
        <f t="shared" si="132"/>
        <v>19951661276.28994</v>
      </c>
      <c r="N200" s="72">
        <f t="shared" ref="N200:N204" si="133">M200</f>
        <v>19951661276.28994</v>
      </c>
    </row>
    <row r="201" spans="2:18">
      <c r="C201" t="s">
        <v>317</v>
      </c>
      <c r="D201">
        <v>0.39</v>
      </c>
      <c r="I201">
        <v>0</v>
      </c>
      <c r="J201" s="3">
        <f>$C$50*(1-$K$13)+$C$68*$K$13</f>
        <v>537362931.20120478</v>
      </c>
      <c r="K201" s="3">
        <f t="shared" si="131"/>
        <v>0</v>
      </c>
      <c r="L201" s="37">
        <v>1</v>
      </c>
      <c r="M201" s="39">
        <f t="shared" si="132"/>
        <v>0</v>
      </c>
      <c r="N201" s="72">
        <f t="shared" si="133"/>
        <v>0</v>
      </c>
    </row>
    <row r="202" spans="2:18">
      <c r="C202" t="s">
        <v>289</v>
      </c>
      <c r="I202">
        <f>60/$D$11*(1-$K$7)</f>
        <v>0.24678922185847393</v>
      </c>
      <c r="J202" s="3">
        <f>$C$47*(1-$K$13)+$C$65*$K$13</f>
        <v>137805441751.74487</v>
      </c>
      <c r="K202" s="3">
        <f t="shared" si="131"/>
        <v>34008897737.776371</v>
      </c>
      <c r="L202" s="37">
        <v>1</v>
      </c>
      <c r="M202" s="39">
        <f t="shared" si="132"/>
        <v>34008897737.776371</v>
      </c>
      <c r="N202" s="72">
        <f t="shared" si="133"/>
        <v>34008897737.776371</v>
      </c>
    </row>
    <row r="203" spans="2:18">
      <c r="C203" t="s">
        <v>193</v>
      </c>
      <c r="D203">
        <v>0.5</v>
      </c>
      <c r="F203">
        <f>60-F190</f>
        <v>25.789473684210527</v>
      </c>
      <c r="I203">
        <f>F203/D203</f>
        <v>51.578947368421055</v>
      </c>
      <c r="J203" s="3">
        <f>$C$45*(1-$K$13)+$C$63*$K$13</f>
        <v>369823912.58700734</v>
      </c>
      <c r="K203" s="3">
        <f t="shared" si="131"/>
        <v>19075128122.908802</v>
      </c>
      <c r="L203" s="37">
        <v>1</v>
      </c>
      <c r="M203" s="39">
        <f t="shared" si="132"/>
        <v>19075128122.908802</v>
      </c>
      <c r="N203" s="72">
        <f t="shared" si="133"/>
        <v>19075128122.908802</v>
      </c>
    </row>
    <row r="204" spans="2:18">
      <c r="C204" t="s">
        <v>290</v>
      </c>
      <c r="I204">
        <f>IF($L$18="OFF",0,60/$D$18*(1-$K$7))</f>
        <v>0.10858725761772854</v>
      </c>
      <c r="J204" s="3">
        <f>$C$51*(1-$K$13)+$C$69*$K$13</f>
        <v>37889621128.273811</v>
      </c>
      <c r="K204" s="3">
        <f t="shared" si="131"/>
        <v>4114330050.4939985</v>
      </c>
      <c r="L204" s="37">
        <v>1</v>
      </c>
      <c r="M204" s="39">
        <f t="shared" si="132"/>
        <v>4114330050.4939985</v>
      </c>
      <c r="N204" s="72">
        <f t="shared" si="133"/>
        <v>4114330050.4939985</v>
      </c>
    </row>
    <row r="205" spans="2:18" s="106" customFormat="1">
      <c r="C205" s="108" t="s">
        <v>558</v>
      </c>
      <c r="D205" s="108"/>
      <c r="E205" s="108"/>
      <c r="F205" s="44"/>
      <c r="G205" s="108"/>
      <c r="H205" s="108"/>
      <c r="I205" s="108">
        <f>$I$102/($I$102+$I$103)*$K$13*60/DPM_DB!$D$21*(1-$K$7)</f>
        <v>3.5528683381868977</v>
      </c>
      <c r="J205" s="107">
        <f>$C$74</f>
        <v>4297324602.7287331</v>
      </c>
      <c r="K205" s="107">
        <f t="shared" si="131"/>
        <v>15267828519.946505</v>
      </c>
      <c r="L205" s="37">
        <v>1</v>
      </c>
      <c r="M205" s="39">
        <f t="shared" ref="M205:M206" si="134">K205*L205</f>
        <v>15267828519.946505</v>
      </c>
      <c r="N205" s="107">
        <f t="shared" ref="N205:N206" si="135">M205</f>
        <v>15267828519.946505</v>
      </c>
      <c r="R205" s="177"/>
    </row>
    <row r="206" spans="2:18" s="108" customFormat="1">
      <c r="C206" s="108" t="s">
        <v>559</v>
      </c>
      <c r="F206" s="44"/>
      <c r="I206" s="108">
        <f>$I$103/($I$102+$I$103)*$K$13*60/DPM_DB!$D$21*(1-$K$7)</f>
        <v>0.50755261974098531</v>
      </c>
      <c r="J206" s="107">
        <f>$C$75</f>
        <v>4297324602.7287331</v>
      </c>
      <c r="K206" s="107">
        <f t="shared" si="131"/>
        <v>2181118359.9923573</v>
      </c>
      <c r="L206" s="37">
        <v>1</v>
      </c>
      <c r="M206" s="39">
        <f t="shared" si="134"/>
        <v>2181118359.9923573</v>
      </c>
      <c r="N206" s="107">
        <f t="shared" si="135"/>
        <v>2181118359.9923573</v>
      </c>
      <c r="R206" s="177"/>
    </row>
    <row r="207" spans="2:18">
      <c r="J207" s="3"/>
      <c r="K207" s="3"/>
    </row>
    <row r="208" spans="2:18">
      <c r="D208" s="204" t="s">
        <v>291</v>
      </c>
      <c r="E208" s="204"/>
      <c r="F208" t="s">
        <v>292</v>
      </c>
    </row>
    <row r="209" spans="1:18">
      <c r="A209" t="s">
        <v>563</v>
      </c>
      <c r="C209" t="s">
        <v>294</v>
      </c>
      <c r="D209" s="203">
        <f>N186</f>
        <v>547802482571.96844</v>
      </c>
      <c r="E209" s="204"/>
      <c r="F209" s="33">
        <f>D209/$D$221</f>
        <v>0.45884810743583693</v>
      </c>
    </row>
    <row r="210" spans="1:18">
      <c r="C210" t="s">
        <v>295</v>
      </c>
      <c r="D210" s="203">
        <f>N187</f>
        <v>25522091278.520493</v>
      </c>
      <c r="E210" s="204"/>
      <c r="F210" s="33">
        <f t="shared" ref="F210:F218" si="136">D210/$D$221</f>
        <v>2.1377711225350805E-2</v>
      </c>
    </row>
    <row r="211" spans="1:18">
      <c r="C211" t="s">
        <v>296</v>
      </c>
      <c r="D211" s="203">
        <f>N199</f>
        <v>215021756495.59015</v>
      </c>
      <c r="E211" s="204"/>
      <c r="F211" s="33">
        <f t="shared" si="136"/>
        <v>0.18010565699210571</v>
      </c>
    </row>
    <row r="212" spans="1:18">
      <c r="C212" t="s">
        <v>297</v>
      </c>
      <c r="D212" s="203">
        <f>N189+N202</f>
        <v>88233033929.517258</v>
      </c>
      <c r="E212" s="204"/>
      <c r="F212" s="33">
        <f t="shared" si="136"/>
        <v>7.3905398240983911E-2</v>
      </c>
    </row>
    <row r="213" spans="1:18">
      <c r="C213" t="s">
        <v>298</v>
      </c>
      <c r="D213" s="203">
        <f>N200</f>
        <v>19951661276.28994</v>
      </c>
      <c r="E213" s="204"/>
      <c r="F213" s="33">
        <f t="shared" si="136"/>
        <v>1.6711830099499028E-2</v>
      </c>
    </row>
    <row r="214" spans="1:18">
      <c r="C214" t="s">
        <v>299</v>
      </c>
      <c r="D214" s="203">
        <f>N190+N203</f>
        <v>58168476363.765213</v>
      </c>
      <c r="E214" s="204"/>
      <c r="F214" s="33">
        <f t="shared" si="136"/>
        <v>4.8722844713346793E-2</v>
      </c>
    </row>
    <row r="215" spans="1:18">
      <c r="C215" t="s">
        <v>281</v>
      </c>
      <c r="D215" s="203">
        <f>N185</f>
        <v>14067214670.052742</v>
      </c>
      <c r="E215" s="204"/>
      <c r="F215" s="33">
        <f t="shared" si="136"/>
        <v>1.1782923651499412E-2</v>
      </c>
    </row>
    <row r="216" spans="1:18">
      <c r="C216" t="s">
        <v>191</v>
      </c>
      <c r="D216" s="203">
        <f>N188</f>
        <v>138846107672.42792</v>
      </c>
      <c r="E216" s="204"/>
      <c r="F216" s="33">
        <f t="shared" si="136"/>
        <v>0.11629971706445502</v>
      </c>
    </row>
    <row r="217" spans="1:18">
      <c r="C217" t="s">
        <v>197</v>
      </c>
      <c r="D217" s="203">
        <f>N191+N204</f>
        <v>12550196204.179829</v>
      </c>
      <c r="E217" s="204"/>
      <c r="F217" s="33">
        <f t="shared" si="136"/>
        <v>1.0512244758729783E-2</v>
      </c>
    </row>
    <row r="218" spans="1:18" s="71" customFormat="1">
      <c r="C218" s="71" t="s">
        <v>450</v>
      </c>
      <c r="D218" s="203">
        <f>N192</f>
        <v>20357837192.292423</v>
      </c>
      <c r="E218" s="204"/>
      <c r="F218" s="33">
        <f t="shared" si="136"/>
        <v>1.7052049533096195E-2</v>
      </c>
      <c r="R218" s="177"/>
    </row>
    <row r="219" spans="1:18" s="108" customFormat="1">
      <c r="C219" s="108" t="s">
        <v>562</v>
      </c>
      <c r="D219" s="203">
        <f>SUM(N193:N197)+SUM(N205:N206)</f>
        <v>53343677677.647049</v>
      </c>
      <c r="E219" s="204"/>
      <c r="F219" s="33">
        <f t="shared" ref="F219" si="137">D219/$D$221</f>
        <v>4.4681516285096409E-2</v>
      </c>
      <c r="R219" s="177"/>
    </row>
    <row r="220" spans="1:18">
      <c r="D220" s="197"/>
      <c r="E220" s="197"/>
    </row>
    <row r="221" spans="1:18">
      <c r="C221" t="s">
        <v>300</v>
      </c>
      <c r="D221" s="205">
        <f>SUM(D209:E220)</f>
        <v>1193864535332.2515</v>
      </c>
      <c r="E221" s="206"/>
      <c r="F221" s="33">
        <f>SUM(F209:F220)</f>
        <v>1</v>
      </c>
    </row>
    <row r="222" spans="1:18">
      <c r="C222" t="s">
        <v>318</v>
      </c>
      <c r="D222" s="207">
        <f>D221/D124-1</f>
        <v>2.597469416714282E-2</v>
      </c>
      <c r="E222" s="207"/>
      <c r="F222" s="207"/>
    </row>
    <row r="223" spans="1:18">
      <c r="C223" s="196" t="s">
        <v>566</v>
      </c>
      <c r="D223" s="196"/>
      <c r="E223" s="196"/>
      <c r="F223" s="196"/>
    </row>
    <row r="224" spans="1:18">
      <c r="C224" s="196" t="s">
        <v>301</v>
      </c>
      <c r="D224" s="196"/>
      <c r="E224" s="196"/>
      <c r="F224" s="196"/>
    </row>
    <row r="225" spans="1:6">
      <c r="D225" s="3"/>
      <c r="F225" s="33"/>
    </row>
    <row r="227" spans="1:6">
      <c r="A227" s="197" t="s">
        <v>302</v>
      </c>
      <c r="B227" s="197"/>
      <c r="C227" s="71" t="s">
        <v>303</v>
      </c>
      <c r="D227" s="71"/>
      <c r="E227" s="71"/>
      <c r="F227" s="71"/>
    </row>
    <row r="228" spans="1:6">
      <c r="A228" s="73"/>
      <c r="B228" s="73"/>
      <c r="C228" t="s">
        <v>319</v>
      </c>
    </row>
    <row r="229" spans="1:6">
      <c r="A229" s="73"/>
      <c r="B229" s="73"/>
    </row>
    <row r="230" spans="1:6">
      <c r="A230" s="73"/>
      <c r="B230" s="73"/>
    </row>
    <row r="231" spans="1:6">
      <c r="A231" s="197" t="s">
        <v>480</v>
      </c>
      <c r="B231" s="197"/>
    </row>
  </sheetData>
  <sheetProtection algorithmName="SHA-512" hashValue="BTpJwPCYIl1Af7LoxNiMzmRTMF+CjIjEpbMBS5wzcka1jdOOylraY7QHZY1fZ5LVc56JIwXg9ufxVWVVsQY0MQ==" saltValue="3p4u/YM7NIKE3lVy/BZQIA==" spinCount="100000" sheet="1" selectLockedCells="1"/>
  <mergeCells count="63">
    <mergeCell ref="D219:E219"/>
    <mergeCell ref="C224:F224"/>
    <mergeCell ref="D1:E1"/>
    <mergeCell ref="D2:E2"/>
    <mergeCell ref="D3:E3"/>
    <mergeCell ref="F1:G1"/>
    <mergeCell ref="F2:G2"/>
    <mergeCell ref="F3:G3"/>
    <mergeCell ref="D217:E217"/>
    <mergeCell ref="D220:E220"/>
    <mergeCell ref="D221:E221"/>
    <mergeCell ref="D222:F222"/>
    <mergeCell ref="C223:F223"/>
    <mergeCell ref="D213:E213"/>
    <mergeCell ref="D214:E214"/>
    <mergeCell ref="D215:E215"/>
    <mergeCell ref="C176:F176"/>
    <mergeCell ref="D165:E165"/>
    <mergeCell ref="D166:E166"/>
    <mergeCell ref="D167:E167"/>
    <mergeCell ref="D169:E169"/>
    <mergeCell ref="C175:F175"/>
    <mergeCell ref="D174:F174"/>
    <mergeCell ref="D172:E172"/>
    <mergeCell ref="D173:E173"/>
    <mergeCell ref="D171:E171"/>
    <mergeCell ref="D216:E216"/>
    <mergeCell ref="D208:E208"/>
    <mergeCell ref="D209:E209"/>
    <mergeCell ref="D210:E210"/>
    <mergeCell ref="D211:E211"/>
    <mergeCell ref="D212:E212"/>
    <mergeCell ref="F21:I21"/>
    <mergeCell ref="F22:I22"/>
    <mergeCell ref="D111:E111"/>
    <mergeCell ref="D112:E112"/>
    <mergeCell ref="D113:E113"/>
    <mergeCell ref="D117:E117"/>
    <mergeCell ref="D121:E121"/>
    <mergeCell ref="C125:F125"/>
    <mergeCell ref="C126:F126"/>
    <mergeCell ref="D119:E119"/>
    <mergeCell ref="D120:E120"/>
    <mergeCell ref="D123:E123"/>
    <mergeCell ref="D124:E124"/>
    <mergeCell ref="D122:E122"/>
    <mergeCell ref="D118:E118"/>
    <mergeCell ref="A227:B227"/>
    <mergeCell ref="A231:B231"/>
    <mergeCell ref="D4:E4"/>
    <mergeCell ref="F4:G4"/>
    <mergeCell ref="D170:E170"/>
    <mergeCell ref="D218:E218"/>
    <mergeCell ref="D161:E161"/>
    <mergeCell ref="D162:E162"/>
    <mergeCell ref="D163:E163"/>
    <mergeCell ref="D164:E164"/>
    <mergeCell ref="D168:E168"/>
    <mergeCell ref="D114:E114"/>
    <mergeCell ref="D115:E115"/>
    <mergeCell ref="D116:E116"/>
    <mergeCell ref="D159:E159"/>
    <mergeCell ref="D160:E160"/>
  </mergeCells>
  <phoneticPr fontId="4" type="noConversion"/>
  <dataValidations count="2">
    <dataValidation type="list" allowBlank="1" showInputMessage="1" showErrorMessage="1" sqref="L7:L19" xr:uid="{BCDDE521-80FE-40A0-9294-021A19C0D647}">
      <formula1>"ON, OFF"</formula1>
    </dataValidation>
    <dataValidation type="list" allowBlank="1" showInputMessage="1" showErrorMessage="1" sqref="D31" xr:uid="{DD174E1A-3700-4A28-A8BE-D373CC387DEE}">
      <formula1>"반감, 비반감"</formula1>
    </dataValidation>
  </dataValidations>
  <pageMargins left="0.7" right="0.7" top="0.75" bottom="0.75" header="0.3" footer="0.3"/>
  <pageSetup paperSize="9" orientation="portrait" r:id="rId1"/>
  <ignoredErrors>
    <ignoredError sqref="X62 X64" formula="1"/>
    <ignoredError sqref="E31:G31 H25:I25 C25:D25 C28 F9" unlocked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15F29-2448-477B-B249-0A600FB288D5}">
  <dimension ref="A1"/>
  <sheetViews>
    <sheetView workbookViewId="0">
      <selection activeCell="A2" sqref="A2"/>
    </sheetView>
  </sheetViews>
  <sheetFormatPr defaultRowHeight="17.399999999999999"/>
  <sheetData>
    <row r="1" spans="1:1">
      <c r="A1" t="s">
        <v>633</v>
      </c>
    </row>
  </sheetData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28CC1-44F5-47F0-A5CF-5BB7FD08B52A}">
  <dimension ref="A1"/>
  <sheetViews>
    <sheetView workbookViewId="0">
      <selection activeCell="F3" sqref="F3"/>
    </sheetView>
  </sheetViews>
  <sheetFormatPr defaultRowHeight="17.399999999999999"/>
  <cols>
    <col min="1" max="16384" width="8.796875" style="192"/>
  </cols>
  <sheetData>
    <row r="1" spans="1:1">
      <c r="A1" s="192" t="s">
        <v>634</v>
      </c>
    </row>
  </sheetData>
  <phoneticPr fontId="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F5DE2-9938-4841-BD4E-27248F4F1015}">
  <dimension ref="A1:F26"/>
  <sheetViews>
    <sheetView zoomScaleNormal="100" workbookViewId="0">
      <selection activeCell="B27" sqref="B27"/>
    </sheetView>
  </sheetViews>
  <sheetFormatPr defaultRowHeight="17.399999999999999"/>
  <cols>
    <col min="1" max="1" width="34" bestFit="1" customWidth="1"/>
    <col min="2" max="2" width="10.296875" bestFit="1" customWidth="1"/>
    <col min="3" max="3" width="15" bestFit="1" customWidth="1"/>
  </cols>
  <sheetData>
    <row r="1" spans="1:6">
      <c r="A1" t="s">
        <v>320</v>
      </c>
    </row>
    <row r="2" spans="1:6">
      <c r="A2" t="s">
        <v>321</v>
      </c>
      <c r="B2">
        <f>DPM!E47</f>
        <v>30</v>
      </c>
      <c r="C2" t="s">
        <v>322</v>
      </c>
      <c r="D2">
        <f>10+INT(B2/5)</f>
        <v>16</v>
      </c>
      <c r="E2" t="s">
        <v>590</v>
      </c>
      <c r="F2">
        <v>1.98</v>
      </c>
    </row>
    <row r="3" spans="1:6">
      <c r="A3" t="s">
        <v>323</v>
      </c>
      <c r="B3" s="1">
        <f>(850+34*$B$2)%*12</f>
        <v>224.39999999999998</v>
      </c>
      <c r="C3" t="s">
        <v>324</v>
      </c>
      <c r="D3">
        <f>INT((D2-$F$2)/$F$3)</f>
        <v>12</v>
      </c>
      <c r="E3" t="s">
        <v>589</v>
      </c>
      <c r="F3">
        <v>1.08</v>
      </c>
    </row>
    <row r="4" spans="1:6">
      <c r="A4" t="s">
        <v>325</v>
      </c>
      <c r="B4" s="1">
        <f>(900+36*$B$2)%*15</f>
        <v>297</v>
      </c>
    </row>
    <row r="5" spans="1:6">
      <c r="A5" t="s">
        <v>326</v>
      </c>
      <c r="B5" s="38">
        <f>B3*D3+B4</f>
        <v>2989.7999999999997</v>
      </c>
    </row>
    <row r="7" spans="1:6">
      <c r="A7" t="s">
        <v>327</v>
      </c>
    </row>
    <row r="8" spans="1:6">
      <c r="A8" t="s">
        <v>321</v>
      </c>
      <c r="B8">
        <f>DPM!E49</f>
        <v>30</v>
      </c>
      <c r="C8" t="s">
        <v>328</v>
      </c>
      <c r="D8">
        <v>40</v>
      </c>
    </row>
    <row r="9" spans="1:6">
      <c r="A9" t="s">
        <v>329</v>
      </c>
      <c r="B9" s="1">
        <f>(400+16*B8)%*12</f>
        <v>105.60000000000001</v>
      </c>
      <c r="C9" t="s">
        <v>330</v>
      </c>
      <c r="D9">
        <f>INT((D8-1)/F9)</f>
        <v>19</v>
      </c>
      <c r="E9" t="s">
        <v>331</v>
      </c>
      <c r="F9">
        <v>2</v>
      </c>
    </row>
    <row r="10" spans="1:6">
      <c r="A10" t="s">
        <v>332</v>
      </c>
      <c r="B10" s="1">
        <f>(900+36*B8)%*10</f>
        <v>198</v>
      </c>
      <c r="C10" t="s">
        <v>333</v>
      </c>
      <c r="D10">
        <f>INT((D8-1)/F10)</f>
        <v>13</v>
      </c>
      <c r="F10">
        <v>3</v>
      </c>
    </row>
    <row r="11" spans="1:6">
      <c r="A11" t="s">
        <v>326</v>
      </c>
      <c r="B11" s="38">
        <f>B9*D9+B10*D10</f>
        <v>4580.3999999999996</v>
      </c>
    </row>
    <row r="13" spans="1:6">
      <c r="A13" t="s">
        <v>334</v>
      </c>
    </row>
    <row r="14" spans="1:6">
      <c r="A14" t="s">
        <v>321</v>
      </c>
      <c r="B14">
        <f>DPM!G34</f>
        <v>30</v>
      </c>
      <c r="C14" t="s">
        <v>328</v>
      </c>
      <c r="D14">
        <v>50</v>
      </c>
    </row>
    <row r="15" spans="1:6">
      <c r="A15" t="s">
        <v>335</v>
      </c>
      <c r="B15" s="1">
        <f>(750+30*B14)%*12</f>
        <v>198</v>
      </c>
    </row>
    <row r="16" spans="1:6">
      <c r="A16" t="s">
        <v>336</v>
      </c>
      <c r="B16" s="1">
        <f>(175+7*B14)%*8</f>
        <v>30.8</v>
      </c>
      <c r="C16" t="s">
        <v>337</v>
      </c>
      <c r="D16">
        <v>30</v>
      </c>
    </row>
    <row r="17" spans="1:4">
      <c r="A17" t="s">
        <v>326</v>
      </c>
      <c r="B17" s="38">
        <f>B15+B16*D16</f>
        <v>1122</v>
      </c>
    </row>
    <row r="19" spans="1:4">
      <c r="A19" t="s">
        <v>338</v>
      </c>
    </row>
    <row r="20" spans="1:4">
      <c r="A20" t="s">
        <v>321</v>
      </c>
      <c r="B20">
        <f>DPM!D34</f>
        <v>30</v>
      </c>
      <c r="C20" t="s">
        <v>322</v>
      </c>
      <c r="D20">
        <f>80+2*B20</f>
        <v>140</v>
      </c>
    </row>
    <row r="21" spans="1:4">
      <c r="A21" t="s">
        <v>339</v>
      </c>
      <c r="B21" s="1">
        <f>IF(DPM!$L$13="OFF",0,10%+INT(B20/5)%)</f>
        <v>0.16</v>
      </c>
      <c r="C21" t="s">
        <v>591</v>
      </c>
      <c r="D21">
        <v>5.2</v>
      </c>
    </row>
    <row r="22" spans="1:4">
      <c r="A22" t="s">
        <v>340</v>
      </c>
      <c r="B22" s="1">
        <f>IF(DPM!$L$13="OFF",0,ROUNDUP(B20/5,0)%)</f>
        <v>0.06</v>
      </c>
    </row>
    <row r="24" spans="1:4">
      <c r="A24" t="s">
        <v>449</v>
      </c>
    </row>
    <row r="25" spans="1:4">
      <c r="A25" t="s">
        <v>465</v>
      </c>
      <c r="B25" s="49">
        <f>((5+INT(DPM!$H$34/5))*DPM!E19/DPM!E7)%</f>
        <v>6.7692307692307691E-2</v>
      </c>
    </row>
    <row r="26" spans="1:4">
      <c r="A26" t="s">
        <v>466</v>
      </c>
      <c r="B26" s="49">
        <f>(5+ROUNDUP(DPM!$H$34/5, 0))%</f>
        <v>0.11</v>
      </c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16</vt:i4>
      </vt:variant>
    </vt:vector>
  </HeadingPairs>
  <TitlesOfParts>
    <vt:vector size="16" baseType="lpstr">
      <vt:lpstr>Main</vt:lpstr>
      <vt:lpstr>Stat</vt:lpstr>
      <vt:lpstr>Stat%</vt:lpstr>
      <vt:lpstr>MOB</vt:lpstr>
      <vt:lpstr>IgnoreD</vt:lpstr>
      <vt:lpstr>DPM</vt:lpstr>
      <vt:lpstr>10sec</vt:lpstr>
      <vt:lpstr>40sec </vt:lpstr>
      <vt:lpstr>DPM_DB</vt:lpstr>
      <vt:lpstr>LEV_Force</vt:lpstr>
      <vt:lpstr>Core</vt:lpstr>
      <vt:lpstr>Symbol</vt:lpstr>
      <vt:lpstr>HS</vt:lpstr>
      <vt:lpstr>SF</vt:lpstr>
      <vt:lpstr>Conversion</vt:lpstr>
      <vt:lpstr>Seed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SNWR@Luna</dc:creator>
  <cp:keywords/>
  <dc:description/>
  <cp:revision/>
  <dcterms:created xsi:type="dcterms:W3CDTF">2017-05-15T02:05:09Z</dcterms:created>
  <dcterms:modified xsi:type="dcterms:W3CDTF">2020-01-22T09:16:36Z</dcterms:modified>
  <cp:category/>
  <cp:contentStatus/>
</cp:coreProperties>
</file>