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Desktop\"/>
    </mc:Choice>
  </mc:AlternateContent>
  <workbookProtection workbookAlgorithmName="SHA-512" workbookHashValue="BwTTix24as8MsLyEa44kgxr/UC3ZYWTmwDuDrkE/3fAXlaia1O2B1H0QEE/BLRLRoVCAND5x32h/lYBGODMsUA==" workbookSaltValue="XkXw+g+WVNmquIaj8yl+qg==" workbookSpinCount="100000" lockStructure="1"/>
  <bookViews>
    <workbookView xWindow="0" yWindow="0" windowWidth="11745" windowHeight="6990" tabRatio="255"/>
  </bookViews>
  <sheets>
    <sheet name="캐시아이템 효율" sheetId="1" r:id="rId1"/>
    <sheet name="하이퍼스텟 효율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J32" i="1" l="1"/>
  <c r="H32" i="1"/>
  <c r="D20" i="2" l="1"/>
  <c r="D16" i="2"/>
  <c r="D21" i="2"/>
  <c r="D24" i="2"/>
  <c r="D25" i="2"/>
  <c r="F8" i="1" l="1"/>
  <c r="C9" i="2"/>
  <c r="B6" i="2"/>
  <c r="D9" i="2"/>
  <c r="D10" i="2"/>
  <c r="D11" i="2"/>
  <c r="D12" i="2"/>
  <c r="D13" i="2"/>
  <c r="D14" i="2"/>
  <c r="D15" i="2"/>
  <c r="C15" i="2"/>
  <c r="C14" i="2"/>
  <c r="D17" i="2"/>
  <c r="D18" i="2"/>
  <c r="D23" i="2"/>
  <c r="D22" i="2"/>
  <c r="D19" i="2"/>
  <c r="C18" i="2"/>
  <c r="C16" i="2"/>
  <c r="C25" i="2"/>
  <c r="C24" i="2"/>
  <c r="C23" i="2"/>
  <c r="C22" i="2"/>
  <c r="C21" i="2"/>
  <c r="C20" i="2"/>
  <c r="C19" i="2"/>
  <c r="C17" i="2"/>
  <c r="C13" i="2"/>
  <c r="C12" i="2"/>
  <c r="C11" i="2"/>
  <c r="C10" i="2"/>
  <c r="B8" i="2" l="1"/>
  <c r="B7" i="2" s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C50" i="1" l="1"/>
  <c r="E50" i="1" s="1"/>
  <c r="F50" i="1" s="1"/>
  <c r="B50" i="1"/>
  <c r="D50" i="1" s="1"/>
  <c r="H22" i="1"/>
  <c r="J22" i="1"/>
  <c r="A8" i="1" l="1"/>
  <c r="D8" i="1" s="1"/>
  <c r="C49" i="1" l="1"/>
  <c r="E49" i="1" s="1"/>
  <c r="F49" i="1" s="1"/>
  <c r="B49" i="1"/>
  <c r="D49" i="1" s="1"/>
  <c r="J39" i="1" l="1"/>
  <c r="H39" i="1"/>
  <c r="H7" i="1"/>
  <c r="M7" i="1" s="1"/>
  <c r="J21" i="1"/>
  <c r="J38" i="1"/>
  <c r="H20" i="1"/>
  <c r="H21" i="1"/>
  <c r="H38" i="1"/>
  <c r="J14" i="1"/>
  <c r="J7" i="1"/>
  <c r="C48" i="1"/>
  <c r="E48" i="1" s="1"/>
  <c r="F48" i="1" s="1"/>
  <c r="C47" i="1"/>
  <c r="E47" i="1" s="1"/>
  <c r="F47" i="1" s="1"/>
  <c r="C46" i="1"/>
  <c r="E46" i="1" s="1"/>
  <c r="F46" i="1" s="1"/>
  <c r="B46" i="1"/>
  <c r="D46" i="1" s="1"/>
  <c r="B47" i="1"/>
  <c r="D47" i="1" s="1"/>
  <c r="B48" i="1"/>
  <c r="D48" i="1" s="1"/>
  <c r="H46" i="1" l="1"/>
  <c r="I46" i="1" s="1"/>
  <c r="N7" i="1"/>
  <c r="H47" i="1"/>
  <c r="I47" i="1" s="1"/>
  <c r="I7" i="1"/>
  <c r="E8" i="1"/>
  <c r="I8" i="1" s="1"/>
  <c r="G47" i="1" s="1"/>
  <c r="J8" i="1"/>
  <c r="J9" i="1"/>
  <c r="J10" i="1"/>
  <c r="J11" i="1"/>
  <c r="J12" i="1"/>
  <c r="J13" i="1"/>
  <c r="J15" i="1"/>
  <c r="J16" i="1"/>
  <c r="J17" i="1"/>
  <c r="J18" i="1"/>
  <c r="J19" i="1"/>
  <c r="J20" i="1"/>
  <c r="H9" i="1"/>
  <c r="H8" i="1"/>
  <c r="M8" i="1" s="1"/>
  <c r="H10" i="1"/>
  <c r="H11" i="1"/>
  <c r="H12" i="1"/>
  <c r="H13" i="1"/>
  <c r="H14" i="1"/>
  <c r="H15" i="1"/>
  <c r="H16" i="1"/>
  <c r="H17" i="1"/>
  <c r="H18" i="1"/>
  <c r="H19" i="1"/>
  <c r="O7" i="1" l="1"/>
  <c r="Q7" i="1" s="1"/>
  <c r="R7" i="1" s="1"/>
  <c r="P7" i="1"/>
  <c r="L7" i="1"/>
  <c r="G46" i="1"/>
  <c r="K7" i="1"/>
  <c r="K8" i="1"/>
  <c r="L8" i="1"/>
  <c r="E9" i="1"/>
  <c r="E10" i="1" s="1"/>
  <c r="I10" i="1" s="1"/>
  <c r="G49" i="1" s="1"/>
  <c r="N8" i="1"/>
  <c r="A9" i="1"/>
  <c r="D9" i="1" s="1"/>
  <c r="F9" i="1"/>
  <c r="F10" i="1" s="1"/>
  <c r="F11" i="1" s="1"/>
  <c r="P8" i="1" l="1"/>
  <c r="O8" i="1"/>
  <c r="Q8" i="1" s="1"/>
  <c r="R8" i="1" s="1"/>
  <c r="H48" i="1"/>
  <c r="I48" i="1" s="1"/>
  <c r="M9" i="1"/>
  <c r="K10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I9" i="1"/>
  <c r="E11" i="1"/>
  <c r="N9" i="1"/>
  <c r="A10" i="1"/>
  <c r="M10" i="1" l="1"/>
  <c r="D10" i="1"/>
  <c r="P9" i="1"/>
  <c r="O9" i="1"/>
  <c r="Q9" i="1" s="1"/>
  <c r="R9" i="1" s="1"/>
  <c r="F38" i="1"/>
  <c r="F39" i="1" s="1"/>
  <c r="L10" i="1"/>
  <c r="H49" i="1"/>
  <c r="I49" i="1" s="1"/>
  <c r="K9" i="1"/>
  <c r="G48" i="1"/>
  <c r="L9" i="1"/>
  <c r="E12" i="1"/>
  <c r="E13" i="1" s="1"/>
  <c r="I11" i="1"/>
  <c r="A11" i="1"/>
  <c r="D11" i="1" s="1"/>
  <c r="N10" i="1"/>
  <c r="P10" i="1" l="1"/>
  <c r="O10" i="1"/>
  <c r="Q10" i="1" s="1"/>
  <c r="R10" i="1" s="1"/>
  <c r="H50" i="1"/>
  <c r="I50" i="1" s="1"/>
  <c r="M11" i="1"/>
  <c r="K11" i="1"/>
  <c r="G50" i="1"/>
  <c r="L11" i="1"/>
  <c r="I12" i="1"/>
  <c r="K12" i="1" s="1"/>
  <c r="A12" i="1"/>
  <c r="N11" i="1"/>
  <c r="M12" i="1" l="1"/>
  <c r="D12" i="1"/>
  <c r="O11" i="1"/>
  <c r="Q11" i="1" s="1"/>
  <c r="R11" i="1" s="1"/>
  <c r="P11" i="1"/>
  <c r="L12" i="1"/>
  <c r="E14" i="1"/>
  <c r="I14" i="1" s="1"/>
  <c r="K14" i="1" s="1"/>
  <c r="I13" i="1"/>
  <c r="K13" i="1" s="1"/>
  <c r="N12" i="1"/>
  <c r="A13" i="1"/>
  <c r="M13" i="1" l="1"/>
  <c r="D13" i="1"/>
  <c r="O12" i="1"/>
  <c r="Q12" i="1" s="1"/>
  <c r="R12" i="1" s="1"/>
  <c r="P12" i="1"/>
  <c r="L13" i="1"/>
  <c r="E15" i="1"/>
  <c r="N13" i="1"/>
  <c r="A14" i="1"/>
  <c r="D14" i="1" s="1"/>
  <c r="O13" i="1" l="1"/>
  <c r="Q13" i="1" s="1"/>
  <c r="R13" i="1" s="1"/>
  <c r="P13" i="1"/>
  <c r="L14" i="1"/>
  <c r="M14" i="1"/>
  <c r="E16" i="1"/>
  <c r="I15" i="1"/>
  <c r="K15" i="1" s="1"/>
  <c r="A15" i="1"/>
  <c r="N14" i="1"/>
  <c r="M15" i="1" l="1"/>
  <c r="D15" i="1"/>
  <c r="O14" i="1"/>
  <c r="Q14" i="1" s="1"/>
  <c r="R14" i="1" s="1"/>
  <c r="P14" i="1"/>
  <c r="L15" i="1"/>
  <c r="E17" i="1"/>
  <c r="I16" i="1"/>
  <c r="K16" i="1" s="1"/>
  <c r="A16" i="1"/>
  <c r="N15" i="1"/>
  <c r="M16" i="1" l="1"/>
  <c r="D16" i="1"/>
  <c r="O15" i="1"/>
  <c r="Q15" i="1" s="1"/>
  <c r="R15" i="1" s="1"/>
  <c r="P15" i="1"/>
  <c r="L16" i="1"/>
  <c r="E18" i="1"/>
  <c r="I17" i="1"/>
  <c r="K17" i="1" s="1"/>
  <c r="A17" i="1"/>
  <c r="N16" i="1"/>
  <c r="M17" i="1" l="1"/>
  <c r="D17" i="1"/>
  <c r="O16" i="1"/>
  <c r="Q16" i="1" s="1"/>
  <c r="R16" i="1" s="1"/>
  <c r="P16" i="1"/>
  <c r="L17" i="1"/>
  <c r="E19" i="1"/>
  <c r="I18" i="1"/>
  <c r="K18" i="1" s="1"/>
  <c r="A18" i="1"/>
  <c r="N17" i="1"/>
  <c r="M18" i="1" l="1"/>
  <c r="D18" i="1"/>
  <c r="O17" i="1"/>
  <c r="Q17" i="1" s="1"/>
  <c r="R17" i="1" s="1"/>
  <c r="P17" i="1"/>
  <c r="L18" i="1"/>
  <c r="E20" i="1"/>
  <c r="I19" i="1"/>
  <c r="K19" i="1" s="1"/>
  <c r="A19" i="1"/>
  <c r="N18" i="1"/>
  <c r="M19" i="1" l="1"/>
  <c r="D19" i="1"/>
  <c r="O18" i="1"/>
  <c r="Q18" i="1" s="1"/>
  <c r="R18" i="1" s="1"/>
  <c r="P18" i="1"/>
  <c r="E21" i="1"/>
  <c r="I20" i="1"/>
  <c r="K20" i="1" s="1"/>
  <c r="L19" i="1"/>
  <c r="N19" i="1"/>
  <c r="A20" i="1"/>
  <c r="D20" i="1" s="1"/>
  <c r="P19" i="1" l="1"/>
  <c r="O19" i="1"/>
  <c r="Q19" i="1" s="1"/>
  <c r="R19" i="1" s="1"/>
  <c r="L20" i="1"/>
  <c r="M20" i="1"/>
  <c r="E22" i="1"/>
  <c r="E38" i="1"/>
  <c r="E39" i="1" s="1"/>
  <c r="I21" i="1"/>
  <c r="K21" i="1" s="1"/>
  <c r="N20" i="1"/>
  <c r="A21" i="1"/>
  <c r="D21" i="1" s="1"/>
  <c r="O20" i="1" l="1"/>
  <c r="Q20" i="1" s="1"/>
  <c r="R20" i="1" s="1"/>
  <c r="P20" i="1"/>
  <c r="A22" i="1"/>
  <c r="D22" i="1" s="1"/>
  <c r="M21" i="1"/>
  <c r="I22" i="1"/>
  <c r="K22" i="1" s="1"/>
  <c r="E23" i="1"/>
  <c r="N22" i="1"/>
  <c r="I38" i="1"/>
  <c r="K38" i="1" s="1"/>
  <c r="I39" i="1"/>
  <c r="A38" i="1"/>
  <c r="L21" i="1"/>
  <c r="N21" i="1"/>
  <c r="P21" i="1" l="1"/>
  <c r="O21" i="1"/>
  <c r="Q21" i="1" s="1"/>
  <c r="R21" i="1" s="1"/>
  <c r="O22" i="1"/>
  <c r="Q22" i="1" s="1"/>
  <c r="R22" i="1" s="1"/>
  <c r="P22" i="1"/>
  <c r="L22" i="1"/>
  <c r="A39" i="1"/>
  <c r="M39" i="1" s="1"/>
  <c r="M38" i="1"/>
  <c r="M22" i="1"/>
  <c r="A23" i="1"/>
  <c r="D23" i="1" s="1"/>
  <c r="E24" i="1"/>
  <c r="E25" i="1" s="1"/>
  <c r="I23" i="1"/>
  <c r="N39" i="1"/>
  <c r="L39" i="1"/>
  <c r="K39" i="1"/>
  <c r="L38" i="1"/>
  <c r="N38" i="1"/>
  <c r="O39" i="1" l="1"/>
  <c r="P39" i="1"/>
  <c r="O38" i="1"/>
  <c r="P38" i="1"/>
  <c r="I25" i="1"/>
  <c r="E26" i="1"/>
  <c r="M23" i="1"/>
  <c r="A24" i="1"/>
  <c r="N23" i="1"/>
  <c r="L23" i="1"/>
  <c r="K23" i="1"/>
  <c r="I24" i="1"/>
  <c r="A25" i="1" l="1"/>
  <c r="D25" i="1" s="1"/>
  <c r="D24" i="1"/>
  <c r="P23" i="1"/>
  <c r="O23" i="1"/>
  <c r="Q23" i="1" s="1"/>
  <c r="R23" i="1" s="1"/>
  <c r="A26" i="1"/>
  <c r="D26" i="1" s="1"/>
  <c r="M25" i="1"/>
  <c r="N25" i="1"/>
  <c r="I26" i="1"/>
  <c r="E27" i="1"/>
  <c r="E28" i="1" s="1"/>
  <c r="L25" i="1"/>
  <c r="K25" i="1"/>
  <c r="M24" i="1"/>
  <c r="N24" i="1"/>
  <c r="L24" i="1"/>
  <c r="K24" i="1"/>
  <c r="P24" i="1" l="1"/>
  <c r="O24" i="1"/>
  <c r="Q24" i="1" s="1"/>
  <c r="R24" i="1" s="1"/>
  <c r="P25" i="1"/>
  <c r="O25" i="1"/>
  <c r="Q25" i="1" s="1"/>
  <c r="R25" i="1" s="1"/>
  <c r="I28" i="1"/>
  <c r="K28" i="1" s="1"/>
  <c r="E29" i="1"/>
  <c r="A27" i="1"/>
  <c r="N26" i="1"/>
  <c r="M26" i="1"/>
  <c r="I27" i="1"/>
  <c r="E37" i="1"/>
  <c r="L26" i="1"/>
  <c r="K26" i="1"/>
  <c r="A28" i="1" l="1"/>
  <c r="D28" i="1" s="1"/>
  <c r="D27" i="1"/>
  <c r="P26" i="1"/>
  <c r="O26" i="1"/>
  <c r="Q26" i="1" s="1"/>
  <c r="R26" i="1" s="1"/>
  <c r="I29" i="1"/>
  <c r="K29" i="1" s="1"/>
  <c r="E30" i="1"/>
  <c r="A29" i="1"/>
  <c r="M28" i="1"/>
  <c r="L28" i="1"/>
  <c r="N28" i="1"/>
  <c r="M27" i="1"/>
  <c r="N27" i="1"/>
  <c r="L27" i="1"/>
  <c r="K27" i="1"/>
  <c r="A30" i="1" l="1"/>
  <c r="D29" i="1"/>
  <c r="O28" i="1"/>
  <c r="Q28" i="1" s="1"/>
  <c r="R28" i="1" s="1"/>
  <c r="P28" i="1"/>
  <c r="O27" i="1"/>
  <c r="Q27" i="1" s="1"/>
  <c r="R27" i="1" s="1"/>
  <c r="P27" i="1"/>
  <c r="I30" i="1"/>
  <c r="K30" i="1" s="1"/>
  <c r="E31" i="1"/>
  <c r="M30" i="1"/>
  <c r="N30" i="1"/>
  <c r="L29" i="1"/>
  <c r="N29" i="1"/>
  <c r="M29" i="1"/>
  <c r="A31" i="1" l="1"/>
  <c r="D30" i="1"/>
  <c r="I31" i="1"/>
  <c r="K31" i="1" s="1"/>
  <c r="E32" i="1"/>
  <c r="I32" i="1" s="1"/>
  <c r="L30" i="1"/>
  <c r="P30" i="1"/>
  <c r="O30" i="1"/>
  <c r="Q30" i="1" s="1"/>
  <c r="R30" i="1" s="1"/>
  <c r="P29" i="1"/>
  <c r="O29" i="1"/>
  <c r="Q29" i="1" s="1"/>
  <c r="R29" i="1" s="1"/>
  <c r="L31" i="1" l="1"/>
  <c r="A32" i="1"/>
  <c r="D31" i="1"/>
  <c r="M31" i="1"/>
  <c r="N31" i="1"/>
  <c r="L32" i="1"/>
  <c r="K32" i="1"/>
  <c r="P31" i="1" l="1"/>
  <c r="O31" i="1"/>
  <c r="Q31" i="1" s="1"/>
  <c r="R31" i="1" s="1"/>
  <c r="D32" i="1"/>
  <c r="M32" i="1"/>
  <c r="N32" i="1"/>
  <c r="O32" i="1" l="1"/>
  <c r="Q32" i="1" s="1"/>
  <c r="R32" i="1" s="1"/>
  <c r="P32" i="1"/>
</calcChain>
</file>

<file path=xl/sharedStrings.xml><?xml version="1.0" encoding="utf-8"?>
<sst xmlns="http://schemas.openxmlformats.org/spreadsheetml/2006/main" count="148" uniqueCount="118">
  <si>
    <t>보유현금</t>
  </si>
  <si>
    <t>캐시아이템</t>
  </si>
  <si>
    <t>메소마켓 예치금</t>
  </si>
  <si>
    <t>비율(절대수정X)</t>
  </si>
  <si>
    <t>캐시아이템 현금가</t>
  </si>
  <si>
    <t>마일리지 구매 판매 메소</t>
  </si>
  <si>
    <t>메소마켓 만원당 메소</t>
  </si>
  <si>
    <t>캐시판매 만원당 메소</t>
  </si>
  <si>
    <t>메소마켓 과의 이윤율 (높을 수 록 이득)</t>
  </si>
  <si>
    <t>메소마켓 최대 구매가능 메소</t>
  </si>
  <si>
    <t>마일리지 포함 최대 구매 가능 메소</t>
  </si>
  <si>
    <t>일반구매 최대 구매 가능 메소</t>
  </si>
  <si>
    <t>블랙큐브</t>
  </si>
  <si>
    <t>레드큐브</t>
  </si>
  <si>
    <t>로얄스타일</t>
  </si>
  <si>
    <t>로얄 10개</t>
  </si>
  <si>
    <t>로얄20개</t>
  </si>
  <si>
    <t>레드 더블식스</t>
  </si>
  <si>
    <t>블렉 더블식스</t>
  </si>
  <si>
    <t>골드애플 5개</t>
  </si>
  <si>
    <t>골드애플 50개</t>
  </si>
  <si>
    <t>골드애플 100개</t>
  </si>
  <si>
    <t>마일리지 사용 가능 여부 정리</t>
  </si>
  <si>
    <t>http://www.inven.co.kr/board/maple/2304/8457</t>
  </si>
  <si>
    <t>마일리지 가능</t>
  </si>
  <si>
    <t>만원당 최대효율</t>
  </si>
  <si>
    <t>레드큐브 단품</t>
  </si>
  <si>
    <t>블렉큐브 단품</t>
  </si>
  <si>
    <t>프리미엄 마스터피스 10개</t>
    <phoneticPr fontId="8" type="noConversion"/>
  </si>
  <si>
    <t>마스터피스 10개</t>
    <phoneticPr fontId="8" type="noConversion"/>
  </si>
  <si>
    <t>플래티넘 카르마가위</t>
    <phoneticPr fontId="8" type="noConversion"/>
  </si>
  <si>
    <t>플래티넘 카르마 가위</t>
    <phoneticPr fontId="8" type="noConversion"/>
  </si>
  <si>
    <t>30%필요 마일리지</t>
    <phoneticPr fontId="8" type="noConversion"/>
  </si>
  <si>
    <t>메소마켓 과의 이윤율 (높을 수 록 이득)</t>
    <phoneticPr fontId="8" type="noConversion"/>
  </si>
  <si>
    <t>마일리지 30%할인 받는 최소 금액</t>
    <phoneticPr fontId="8" type="noConversion"/>
  </si>
  <si>
    <t>최대 구매가능 메소</t>
    <phoneticPr fontId="8" type="noConversion"/>
  </si>
  <si>
    <t>마일리지가 무한일 경우의 수 입니다.</t>
    <phoneticPr fontId="8" type="noConversion"/>
  </si>
  <si>
    <t>주의!</t>
    <phoneticPr fontId="8" type="noConversion"/>
  </si>
  <si>
    <t>30%위한 구매갯수</t>
    <phoneticPr fontId="8" type="noConversion"/>
  </si>
  <si>
    <t>30%할인된 금액</t>
    <phoneticPr fontId="8" type="noConversion"/>
  </si>
  <si>
    <t>적용되지 않습니다. 확인 후  구매하세요!</t>
    <phoneticPr fontId="8" type="noConversion"/>
  </si>
  <si>
    <t>마일리지 할인이 되지 않는 캐시 아이템은</t>
    <phoneticPr fontId="8" type="noConversion"/>
  </si>
  <si>
    <t>제일 위에만 수정</t>
    <phoneticPr fontId="8" type="noConversion"/>
  </si>
  <si>
    <t>무단 배포 복제 금지</t>
    <phoneticPr fontId="8" type="noConversion"/>
  </si>
  <si>
    <t>엄중 처벌 선처 없습니다.</t>
    <phoneticPr fontId="8" type="noConversion"/>
  </si>
  <si>
    <t>미라클 서큘레이터</t>
    <phoneticPr fontId="8" type="noConversion"/>
  </si>
  <si>
    <t>미라클 서큘레이터</t>
    <phoneticPr fontId="8" type="noConversion"/>
  </si>
  <si>
    <t>▼ 현금거래 ▼</t>
    <phoneticPr fontId="8" type="noConversion"/>
  </si>
  <si>
    <t>매냐</t>
    <phoneticPr fontId="8" type="noConversion"/>
  </si>
  <si>
    <t>무통거래</t>
    <phoneticPr fontId="8" type="noConversion"/>
  </si>
  <si>
    <t>리턴 스크롤</t>
    <phoneticPr fontId="8" type="noConversion"/>
  </si>
  <si>
    <t>잘팔림</t>
    <phoneticPr fontId="8" type="noConversion"/>
  </si>
  <si>
    <t>잘안팔림</t>
    <phoneticPr fontId="8" type="noConversion"/>
  </si>
  <si>
    <t>수정금지</t>
    <phoneticPr fontId="8" type="noConversion"/>
  </si>
  <si>
    <t>현금가</t>
    <phoneticPr fontId="8" type="noConversion"/>
  </si>
  <si>
    <t>에디셔널 큐브</t>
    <phoneticPr fontId="8" type="noConversion"/>
  </si>
  <si>
    <t>에디셔널 큐브</t>
    <phoneticPr fontId="8" type="noConversion"/>
  </si>
  <si>
    <t>원더베리</t>
    <phoneticPr fontId="8" type="noConversion"/>
  </si>
  <si>
    <t>루나크리스탈</t>
    <phoneticPr fontId="8" type="noConversion"/>
  </si>
  <si>
    <t>쁘띠 포니</t>
    <phoneticPr fontId="8" type="noConversion"/>
  </si>
  <si>
    <t>글로리</t>
    <phoneticPr fontId="8" type="noConversion"/>
  </si>
  <si>
    <t>빅토리</t>
    <phoneticPr fontId="8" type="noConversion"/>
  </si>
  <si>
    <t>금금이</t>
    <phoneticPr fontId="8" type="noConversion"/>
  </si>
  <si>
    <t>세이프티 실드</t>
    <phoneticPr fontId="8" type="noConversion"/>
  </si>
  <si>
    <t>현재 버전 1.5</t>
    <phoneticPr fontId="8" type="noConversion"/>
  </si>
  <si>
    <t>현재 버전 1.5</t>
    <phoneticPr fontId="8" type="noConversion"/>
  </si>
  <si>
    <t>프로텍트 실드</t>
    <phoneticPr fontId="8" type="noConversion"/>
  </si>
  <si>
    <t>리커버리 실드</t>
    <phoneticPr fontId="8" type="noConversion"/>
  </si>
  <si>
    <t>경매장 수수료 제외(3%기준)</t>
    <phoneticPr fontId="8" type="noConversion"/>
  </si>
  <si>
    <t>일반 5% 실버이상 3% 피시방 3%</t>
    <phoneticPr fontId="8" type="noConversion"/>
  </si>
  <si>
    <t>경매장 수수료 제외(5%기준)</t>
    <phoneticPr fontId="8" type="noConversion"/>
  </si>
  <si>
    <t>일반 기준</t>
    <phoneticPr fontId="8" type="noConversion"/>
  </si>
  <si>
    <t>경매장수수료 3%제외</t>
    <phoneticPr fontId="8" type="noConversion"/>
  </si>
  <si>
    <t>최대 현금 회수율</t>
    <phoneticPr fontId="8" type="noConversion"/>
  </si>
  <si>
    <t>수수료 3%기준</t>
    <phoneticPr fontId="8" type="noConversion"/>
  </si>
  <si>
    <t>매냐 수수료 제외</t>
    <phoneticPr fontId="8" type="noConversion"/>
  </si>
  <si>
    <t>로얄 기준</t>
    <phoneticPr fontId="8" type="noConversion"/>
  </si>
  <si>
    <t>거래 수수료 제외 5%</t>
    <phoneticPr fontId="8" type="noConversion"/>
  </si>
  <si>
    <t>현재 L.V</t>
    <phoneticPr fontId="8" type="noConversion"/>
  </si>
  <si>
    <t>총 하이퍼 스텟 포인트</t>
    <phoneticPr fontId="8" type="noConversion"/>
  </si>
  <si>
    <t>남은 하이퍼 스텟 포인트</t>
    <phoneticPr fontId="8" type="noConversion"/>
  </si>
  <si>
    <t>STR</t>
    <phoneticPr fontId="8" type="noConversion"/>
  </si>
  <si>
    <t>DEX</t>
    <phoneticPr fontId="8" type="noConversion"/>
  </si>
  <si>
    <t>INT</t>
    <phoneticPr fontId="8" type="noConversion"/>
  </si>
  <si>
    <t>LUK</t>
    <phoneticPr fontId="8" type="noConversion"/>
  </si>
  <si>
    <t>HP</t>
    <phoneticPr fontId="8" type="noConversion"/>
  </si>
  <si>
    <t>MP</t>
    <phoneticPr fontId="8" type="noConversion"/>
  </si>
  <si>
    <t>크리티컬 발동</t>
    <phoneticPr fontId="8" type="noConversion"/>
  </si>
  <si>
    <t>크리 데미지</t>
    <phoneticPr fontId="8" type="noConversion"/>
  </si>
  <si>
    <t>방어율 무시</t>
    <phoneticPr fontId="8" type="noConversion"/>
  </si>
  <si>
    <t>데미지</t>
    <phoneticPr fontId="8" type="noConversion"/>
  </si>
  <si>
    <t>보스데미지</t>
    <phoneticPr fontId="8" type="noConversion"/>
  </si>
  <si>
    <t>상태이상내성</t>
    <phoneticPr fontId="8" type="noConversion"/>
  </si>
  <si>
    <t>스탠스</t>
    <phoneticPr fontId="8" type="noConversion"/>
  </si>
  <si>
    <t>공격력/마력</t>
    <phoneticPr fontId="8" type="noConversion"/>
  </si>
  <si>
    <t>획득경험치</t>
    <phoneticPr fontId="8" type="noConversion"/>
  </si>
  <si>
    <t>아케인포스</t>
    <phoneticPr fontId="8" type="noConversion"/>
  </si>
  <si>
    <t>사용한 포인트</t>
    <phoneticPr fontId="8" type="noConversion"/>
  </si>
  <si>
    <t>DF/TF</t>
    <phoneticPr fontId="8" type="noConversion"/>
  </si>
  <si>
    <t>사용포인트</t>
    <phoneticPr fontId="8" type="noConversion"/>
  </si>
  <si>
    <t>거래 수수료 제외 3%</t>
    <phoneticPr fontId="8" type="noConversion"/>
  </si>
  <si>
    <t>능력치</t>
    <phoneticPr fontId="8" type="noConversion"/>
  </si>
  <si>
    <t>프로텍트 실드3개</t>
    <phoneticPr fontId="8" type="noConversion"/>
  </si>
  <si>
    <t>메소 시세</t>
    <phoneticPr fontId="8" type="noConversion"/>
  </si>
  <si>
    <t>계산기 모바일버전</t>
    <phoneticPr fontId="8" type="noConversion"/>
  </si>
  <si>
    <t>안드로이드만 가능</t>
    <phoneticPr fontId="8" type="noConversion"/>
  </si>
  <si>
    <t>플레이스토어=&gt;</t>
    <phoneticPr fontId="8" type="noConversion"/>
  </si>
  <si>
    <t>메이플 계산기</t>
    <phoneticPr fontId="8" type="noConversion"/>
  </si>
  <si>
    <t>&lt;=검색</t>
    <phoneticPr fontId="8" type="noConversion"/>
  </si>
  <si>
    <t>&lt;=아이콘 모양</t>
    <phoneticPr fontId="8" type="noConversion"/>
  </si>
  <si>
    <t>다운로드!</t>
    <phoneticPr fontId="8" type="noConversion"/>
  </si>
  <si>
    <t>현금당 구매가능 개수</t>
    <phoneticPr fontId="8" type="noConversion"/>
  </si>
  <si>
    <t>광고 많이 눌러주세요 ㅠ</t>
    <phoneticPr fontId="8" type="noConversion"/>
  </si>
  <si>
    <t>학교,직장,어디서나</t>
    <phoneticPr fontId="8" type="noConversion"/>
  </si>
  <si>
    <t>모바일 !</t>
    <phoneticPr fontId="8" type="noConversion"/>
  </si>
  <si>
    <t>KEB하나646-910265-91907</t>
    <phoneticPr fontId="8" type="noConversion"/>
  </si>
  <si>
    <t>김경애</t>
    <phoneticPr fontId="8" type="noConversion"/>
  </si>
  <si>
    <t>후원 계좌!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</si>
</sst>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₩&quot;#,##0_);[Red]\(&quot;₩&quot;#,##0\)"/>
    <numFmt numFmtId="177" formatCode="&quot;₩&quot;#,##0"/>
    <numFmt numFmtId="178" formatCode="0.0%"/>
    <numFmt numFmtId="179" formatCode="&quot;₩&quot;#,###"/>
    <numFmt numFmtId="180" formatCode="&quot;₩&quot;#,##0.0_);[Red]\(&quot;₩&quot;#,##0.0\)"/>
  </numFmts>
  <fonts count="30" x14ac:knownFonts="1"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11"/>
      <color rgb="FF4472C4"/>
      <name val="맑은 고딕"/>
      <family val="2"/>
      <scheme val="minor"/>
    </font>
    <font>
      <sz val="11"/>
      <color rgb="FFC00000"/>
      <name val="맑은 고딕"/>
      <family val="2"/>
      <scheme val="minor"/>
    </font>
    <font>
      <sz val="11"/>
      <color rgb="FFED7D31"/>
      <name val="맑은 고딕"/>
      <family val="2"/>
      <scheme val="minor"/>
    </font>
    <font>
      <sz val="11"/>
      <color rgb="FF002060"/>
      <name val="맑은 고딕"/>
      <family val="2"/>
      <scheme val="minor"/>
    </font>
    <font>
      <sz val="11"/>
      <color rgb="FF000000"/>
      <name val="맑은 고딕"/>
      <family val="2"/>
      <scheme val="minor"/>
    </font>
    <font>
      <sz val="11"/>
      <color rgb="FFFFFF0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11"/>
      <color rgb="FFFFFF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4472C4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sz val="11"/>
      <color theme="0"/>
      <name val="맑은 고딕"/>
      <family val="2"/>
      <scheme val="minor"/>
    </font>
    <font>
      <sz val="11"/>
      <color theme="4" tint="-0.499984740745262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5" tint="0.79998168889431442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9C6500"/>
      <name val="맑은 고딕"/>
      <family val="3"/>
      <charset val="129"/>
      <scheme val="minor"/>
    </font>
    <font>
      <b/>
      <sz val="11"/>
      <color rgb="FF9C0006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name val="맑은 고딕"/>
      <family val="2"/>
      <scheme val="minor"/>
    </font>
    <font>
      <b/>
      <sz val="11"/>
      <color rgb="FF0061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</cellStyleXfs>
  <cellXfs count="80">
    <xf numFmtId="0" fontId="0" fillId="0" borderId="0" xfId="0"/>
    <xf numFmtId="176" fontId="10" fillId="10" borderId="0" xfId="0" applyNumberFormat="1" applyFont="1" applyFill="1" applyAlignment="1" applyProtection="1">
      <alignment horizontal="center"/>
      <protection hidden="1"/>
    </xf>
    <xf numFmtId="0" fontId="0" fillId="12" borderId="0" xfId="0" applyFill="1" applyAlignment="1" applyProtection="1">
      <alignment horizontal="center"/>
      <protection hidden="1"/>
    </xf>
    <xf numFmtId="176" fontId="0" fillId="0" borderId="0" xfId="0" applyNumberFormat="1" applyAlignment="1" applyProtection="1">
      <alignment horizontal="center"/>
      <protection hidden="1"/>
    </xf>
    <xf numFmtId="176" fontId="2" fillId="0" borderId="0" xfId="0" applyNumberFormat="1" applyFont="1" applyAlignment="1" applyProtection="1">
      <alignment horizontal="center"/>
      <protection hidden="1"/>
    </xf>
    <xf numFmtId="176" fontId="6" fillId="0" borderId="0" xfId="0" applyNumberFormat="1" applyFont="1" applyAlignment="1" applyProtection="1">
      <alignment horizontal="center"/>
      <protection hidden="1"/>
    </xf>
    <xf numFmtId="176" fontId="3" fillId="0" borderId="0" xfId="0" applyNumberFormat="1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10" fontId="0" fillId="0" borderId="0" xfId="0" applyNumberFormat="1" applyAlignment="1" applyProtection="1">
      <alignment horizontal="center"/>
      <protection hidden="1"/>
    </xf>
    <xf numFmtId="176" fontId="5" fillId="0" borderId="0" xfId="0" applyNumberFormat="1" applyFont="1" applyAlignment="1" applyProtection="1">
      <alignment horizontal="center"/>
      <protection hidden="1"/>
    </xf>
    <xf numFmtId="177" fontId="5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76" fontId="4" fillId="0" borderId="0" xfId="0" applyNumberFormat="1" applyFont="1" applyAlignment="1" applyProtection="1">
      <alignment horizontal="center"/>
      <protection hidden="1"/>
    </xf>
    <xf numFmtId="176" fontId="10" fillId="11" borderId="0" xfId="0" applyNumberFormat="1" applyFont="1" applyFill="1" applyAlignment="1" applyProtection="1">
      <alignment horizontal="center"/>
      <protection hidden="1"/>
    </xf>
    <xf numFmtId="176" fontId="10" fillId="9" borderId="0" xfId="0" applyNumberFormat="1" applyFont="1" applyFill="1" applyAlignment="1" applyProtection="1">
      <alignment horizontal="center"/>
      <protection hidden="1"/>
    </xf>
    <xf numFmtId="176" fontId="16" fillId="14" borderId="0" xfId="0" applyNumberFormat="1" applyFont="1" applyFill="1" applyAlignment="1" applyProtection="1">
      <alignment horizontal="center"/>
      <protection hidden="1"/>
    </xf>
    <xf numFmtId="177" fontId="16" fillId="14" borderId="0" xfId="0" applyNumberFormat="1" applyFont="1" applyFill="1" applyAlignment="1" applyProtection="1">
      <alignment horizontal="center"/>
      <protection hidden="1"/>
    </xf>
    <xf numFmtId="176" fontId="15" fillId="17" borderId="0" xfId="0" applyNumberFormat="1" applyFont="1" applyFill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176" fontId="12" fillId="0" borderId="0" xfId="0" applyNumberFormat="1" applyFont="1" applyAlignment="1" applyProtection="1">
      <alignment horizontal="center"/>
      <protection hidden="1"/>
    </xf>
    <xf numFmtId="176" fontId="13" fillId="5" borderId="0" xfId="0" applyNumberFormat="1" applyFont="1" applyFill="1" applyAlignment="1" applyProtection="1">
      <alignment horizontal="center"/>
      <protection hidden="1"/>
    </xf>
    <xf numFmtId="176" fontId="14" fillId="0" borderId="0" xfId="0" applyNumberFormat="1" applyFont="1" applyAlignment="1" applyProtection="1">
      <alignment horizontal="center"/>
      <protection locked="0" hidden="1"/>
    </xf>
    <xf numFmtId="176" fontId="10" fillId="6" borderId="0" xfId="0" applyNumberFormat="1" applyFont="1" applyFill="1" applyAlignment="1" applyProtection="1">
      <alignment horizontal="center"/>
      <protection hidden="1"/>
    </xf>
    <xf numFmtId="176" fontId="11" fillId="2" borderId="0" xfId="0" applyNumberFormat="1" applyFont="1" applyFill="1" applyAlignment="1" applyProtection="1">
      <alignment horizontal="center"/>
      <protection hidden="1"/>
    </xf>
    <xf numFmtId="10" fontId="11" fillId="2" borderId="0" xfId="0" applyNumberFormat="1" applyFont="1" applyFill="1" applyAlignment="1" applyProtection="1">
      <alignment horizontal="center"/>
      <protection hidden="1"/>
    </xf>
    <xf numFmtId="176" fontId="15" fillId="3" borderId="0" xfId="0" applyNumberFormat="1" applyFont="1" applyFill="1" applyAlignment="1" applyProtection="1">
      <alignment horizontal="center"/>
      <protection hidden="1"/>
    </xf>
    <xf numFmtId="176" fontId="15" fillId="4" borderId="0" xfId="0" applyNumberFormat="1" applyFont="1" applyFill="1" applyAlignment="1" applyProtection="1">
      <alignment horizontal="center"/>
      <protection hidden="1"/>
    </xf>
    <xf numFmtId="177" fontId="15" fillId="4" borderId="0" xfId="0" applyNumberFormat="1" applyFont="1" applyFill="1" applyAlignment="1" applyProtection="1">
      <alignment horizontal="center"/>
      <protection hidden="1"/>
    </xf>
    <xf numFmtId="176" fontId="18" fillId="16" borderId="0" xfId="0" applyNumberFormat="1" applyFont="1" applyFill="1" applyAlignment="1" applyProtection="1">
      <alignment horizontal="center"/>
      <protection locked="0" hidden="1"/>
    </xf>
    <xf numFmtId="176" fontId="0" fillId="0" borderId="0" xfId="0" applyNumberFormat="1" applyAlignment="1" applyProtection="1">
      <alignment horizontal="center"/>
      <protection locked="0" hidden="1"/>
    </xf>
    <xf numFmtId="176" fontId="2" fillId="0" borderId="0" xfId="0" applyNumberFormat="1" applyFont="1" applyAlignment="1" applyProtection="1">
      <alignment horizontal="center"/>
      <protection locked="0" hidden="1"/>
    </xf>
    <xf numFmtId="176" fontId="3" fillId="0" borderId="0" xfId="0" applyNumberFormat="1" applyFont="1" applyAlignment="1" applyProtection="1">
      <alignment horizontal="center"/>
      <protection locked="0" hidden="1"/>
    </xf>
    <xf numFmtId="177" fontId="19" fillId="0" borderId="0" xfId="0" applyNumberFormat="1" applyFont="1" applyAlignment="1" applyProtection="1">
      <alignment horizontal="center"/>
      <protection hidden="1"/>
    </xf>
    <xf numFmtId="176" fontId="5" fillId="16" borderId="0" xfId="0" applyNumberFormat="1" applyFont="1" applyFill="1" applyAlignment="1" applyProtection="1">
      <alignment horizontal="center"/>
      <protection hidden="1"/>
    </xf>
    <xf numFmtId="1" fontId="7" fillId="9" borderId="0" xfId="0" applyNumberFormat="1" applyFont="1" applyFill="1" applyAlignment="1" applyProtection="1">
      <alignment horizontal="center"/>
      <protection hidden="1"/>
    </xf>
    <xf numFmtId="0" fontId="11" fillId="15" borderId="0" xfId="0" applyFont="1" applyFill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hidden="1"/>
    </xf>
    <xf numFmtId="0" fontId="17" fillId="15" borderId="0" xfId="1" applyFont="1" applyFill="1" applyAlignment="1" applyProtection="1">
      <alignment horizontal="center"/>
      <protection hidden="1"/>
    </xf>
    <xf numFmtId="176" fontId="7" fillId="9" borderId="0" xfId="0" applyNumberFormat="1" applyFont="1" applyFill="1" applyAlignment="1" applyProtection="1">
      <alignment horizontal="center"/>
      <protection hidden="1"/>
    </xf>
    <xf numFmtId="176" fontId="9" fillId="9" borderId="0" xfId="0" applyNumberFormat="1" applyFont="1" applyFill="1" applyAlignment="1" applyProtection="1">
      <alignment horizontal="center"/>
      <protection hidden="1"/>
    </xf>
    <xf numFmtId="176" fontId="4" fillId="7" borderId="0" xfId="0" applyNumberFormat="1" applyFont="1" applyFill="1" applyAlignment="1" applyProtection="1">
      <alignment horizontal="center"/>
      <protection hidden="1"/>
    </xf>
    <xf numFmtId="176" fontId="0" fillId="8" borderId="0" xfId="0" applyNumberForma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10" fontId="0" fillId="3" borderId="0" xfId="0" applyNumberFormat="1" applyFill="1" applyAlignment="1" applyProtection="1">
      <alignment horizontal="center"/>
      <protection hidden="1"/>
    </xf>
    <xf numFmtId="10" fontId="0" fillId="2" borderId="0" xfId="0" applyNumberFormat="1" applyFill="1" applyAlignment="1" applyProtection="1">
      <alignment horizontal="center"/>
      <protection hidden="1"/>
    </xf>
    <xf numFmtId="10" fontId="3" fillId="0" borderId="0" xfId="0" applyNumberFormat="1" applyFont="1" applyAlignment="1" applyProtection="1">
      <alignment horizontal="center"/>
      <protection hidden="1"/>
    </xf>
    <xf numFmtId="176" fontId="19" fillId="0" borderId="0" xfId="0" applyNumberFormat="1" applyFont="1" applyAlignment="1" applyProtection="1">
      <alignment horizontal="center"/>
      <protection hidden="1"/>
    </xf>
    <xf numFmtId="0" fontId="7" fillId="10" borderId="0" xfId="0" applyFont="1" applyFill="1" applyAlignment="1" applyProtection="1">
      <alignment horizontal="center"/>
      <protection hidden="1"/>
    </xf>
    <xf numFmtId="0" fontId="0" fillId="8" borderId="1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hidden="1"/>
    </xf>
    <xf numFmtId="0" fontId="0" fillId="10" borderId="0" xfId="0" applyFill="1" applyAlignment="1" applyProtection="1">
      <alignment horizontal="center"/>
      <protection hidden="1"/>
    </xf>
    <xf numFmtId="0" fontId="18" fillId="17" borderId="1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8" fillId="18" borderId="1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hidden="1"/>
    </xf>
    <xf numFmtId="0" fontId="20" fillId="18" borderId="1" xfId="0" applyFont="1" applyFill="1" applyBorder="1" applyAlignment="1" applyProtection="1">
      <alignment horizontal="center"/>
      <protection hidden="1"/>
    </xf>
    <xf numFmtId="9" fontId="0" fillId="0" borderId="1" xfId="0" applyNumberFormat="1" applyBorder="1" applyAlignment="1" applyProtection="1">
      <alignment horizontal="center"/>
      <protection hidden="1"/>
    </xf>
    <xf numFmtId="178" fontId="0" fillId="0" borderId="1" xfId="0" applyNumberFormat="1" applyBorder="1" applyAlignment="1" applyProtection="1">
      <alignment horizontal="center"/>
      <protection hidden="1"/>
    </xf>
    <xf numFmtId="179" fontId="3" fillId="0" borderId="0" xfId="0" applyNumberFormat="1" applyFont="1" applyAlignment="1" applyProtection="1">
      <alignment horizontal="center"/>
      <protection hidden="1"/>
    </xf>
    <xf numFmtId="0" fontId="0" fillId="19" borderId="1" xfId="0" applyFill="1" applyBorder="1" applyAlignment="1" applyProtection="1">
      <alignment horizontal="center"/>
      <protection hidden="1"/>
    </xf>
    <xf numFmtId="0" fontId="0" fillId="19" borderId="3" xfId="0" applyFill="1" applyBorder="1" applyAlignment="1" applyProtection="1">
      <alignment horizontal="center"/>
      <protection hidden="1"/>
    </xf>
    <xf numFmtId="177" fontId="21" fillId="18" borderId="0" xfId="0" applyNumberFormat="1" applyFont="1" applyFill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20" fillId="11" borderId="1" xfId="0" applyFont="1" applyFill="1" applyBorder="1" applyAlignment="1" applyProtection="1">
      <alignment horizontal="center"/>
      <protection hidden="1"/>
    </xf>
    <xf numFmtId="176" fontId="24" fillId="21" borderId="5" xfId="3" applyNumberFormat="1" applyFont="1" applyBorder="1" applyAlignment="1" applyProtection="1">
      <alignment horizontal="center"/>
      <protection hidden="1"/>
    </xf>
    <xf numFmtId="176" fontId="25" fillId="20" borderId="0" xfId="2" applyNumberFormat="1" applyFont="1" applyAlignment="1" applyProtection="1">
      <alignment horizontal="center"/>
      <protection hidden="1"/>
    </xf>
    <xf numFmtId="3" fontId="0" fillId="12" borderId="1" xfId="0" applyNumberFormat="1" applyFill="1" applyBorder="1" applyAlignment="1" applyProtection="1">
      <alignment horizontal="center"/>
      <protection locked="0" hidden="1"/>
    </xf>
    <xf numFmtId="0" fontId="0" fillId="12" borderId="1" xfId="0" applyFill="1" applyBorder="1" applyAlignment="1" applyProtection="1">
      <alignment horizontal="center"/>
      <protection locked="0" hidden="1"/>
    </xf>
    <xf numFmtId="0" fontId="0" fillId="13" borderId="1" xfId="0" applyFill="1" applyBorder="1" applyAlignment="1" applyProtection="1">
      <alignment horizontal="center"/>
      <protection locked="0" hidden="1"/>
    </xf>
    <xf numFmtId="0" fontId="0" fillId="12" borderId="0" xfId="0" applyFill="1" applyAlignment="1" applyProtection="1">
      <alignment horizontal="center"/>
      <protection locked="0" hidden="1"/>
    </xf>
    <xf numFmtId="0" fontId="0" fillId="13" borderId="0" xfId="0" applyFill="1" applyAlignment="1" applyProtection="1">
      <alignment horizontal="center"/>
      <protection locked="0" hidden="1"/>
    </xf>
    <xf numFmtId="0" fontId="27" fillId="12" borderId="1" xfId="0" applyFont="1" applyFill="1" applyBorder="1" applyAlignment="1" applyProtection="1">
      <alignment horizontal="center"/>
      <protection locked="0" hidden="1"/>
    </xf>
    <xf numFmtId="180" fontId="24" fillId="21" borderId="1" xfId="3" applyNumberFormat="1" applyFont="1" applyBorder="1" applyAlignment="1" applyProtection="1">
      <alignment horizontal="center"/>
      <protection hidden="1"/>
    </xf>
    <xf numFmtId="176" fontId="28" fillId="22" borderId="0" xfId="4" applyNumberFormat="1" applyFont="1" applyAlignment="1" applyProtection="1">
      <alignment horizontal="center"/>
      <protection hidden="1"/>
    </xf>
    <xf numFmtId="176" fontId="13" fillId="0" borderId="0" xfId="0" applyNumberFormat="1" applyFont="1" applyAlignment="1" applyProtection="1">
      <alignment horizontal="center"/>
      <protection hidden="1"/>
    </xf>
    <xf numFmtId="176" fontId="29" fillId="22" borderId="0" xfId="4" applyNumberFormat="1" applyFont="1" applyAlignment="1" applyProtection="1">
      <alignment horizontal="center"/>
      <protection hidden="1"/>
    </xf>
    <xf numFmtId="176" fontId="11" fillId="0" borderId="0" xfId="0" applyNumberFormat="1" applyFont="1" applyAlignment="1" applyProtection="1">
      <alignment horizontal="center"/>
      <protection hidden="1"/>
    </xf>
  </cellXfs>
  <cellStyles count="5">
    <cellStyle name="Hyperlink" xfId="1"/>
    <cellStyle name="나쁨" xfId="2" builtinId="27"/>
    <cellStyle name="보통" xfId="3" builtinId="28"/>
    <cellStyle name="좋음" xfId="4" builtinId="26"/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5</xdr:col>
      <xdr:colOff>1884067</xdr:colOff>
      <xdr:row>61</xdr:row>
      <xdr:rowOff>113406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00"/>
          <a:ext cx="9259592" cy="1171739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423334</xdr:colOff>
      <xdr:row>61</xdr:row>
      <xdr:rowOff>190500</xdr:rowOff>
    </xdr:from>
    <xdr:to>
      <xdr:col>4</xdr:col>
      <xdr:colOff>1074082</xdr:colOff>
      <xdr:row>72</xdr:row>
      <xdr:rowOff>43696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4" y="7598833"/>
          <a:ext cx="6668431" cy="2181529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0</xdr:row>
      <xdr:rowOff>152400</xdr:rowOff>
    </xdr:from>
    <xdr:to>
      <xdr:col>2</xdr:col>
      <xdr:colOff>1162050</xdr:colOff>
      <xdr:row>5</xdr:row>
      <xdr:rowOff>47625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152400"/>
          <a:ext cx="9429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n.co.kr/board/maple/2304/845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zoomScale="87" zoomScaleNormal="87" workbookViewId="0">
      <pane xSplit="2" topLeftCell="C1" activePane="topRight" state="frozen"/>
      <selection activeCell="A3" sqref="A3"/>
      <selection pane="topRight" activeCell="E52" sqref="E52"/>
    </sheetView>
  </sheetViews>
  <sheetFormatPr defaultRowHeight="16.5" x14ac:dyDescent="0.3"/>
  <cols>
    <col min="1" max="1" width="18" style="13" customWidth="1"/>
    <col min="2" max="2" width="23" style="11" customWidth="1"/>
    <col min="3" max="3" width="17.625" style="3" customWidth="1"/>
    <col min="4" max="4" width="20.25" style="3" customWidth="1"/>
    <col min="5" max="5" width="17.875" style="4" customWidth="1"/>
    <col min="6" max="6" width="28.625" style="5" customWidth="1"/>
    <col min="7" max="7" width="36.125" style="32" customWidth="1"/>
    <col min="8" max="8" width="23.125" style="7" customWidth="1"/>
    <col min="9" max="9" width="19.875" style="6" customWidth="1"/>
    <col min="10" max="10" width="19.625" style="6" customWidth="1"/>
    <col min="11" max="11" width="33.25" style="3" customWidth="1"/>
    <col min="12" max="12" width="29.625" style="8" customWidth="1"/>
    <col min="13" max="13" width="31.5" style="8" customWidth="1"/>
    <col min="14" max="14" width="25.25" style="9" customWidth="1"/>
    <col min="15" max="15" width="28.625" style="10" customWidth="1"/>
    <col min="16" max="16" width="26" style="3" customWidth="1"/>
    <col min="17" max="17" width="16" style="6" customWidth="1"/>
    <col min="18" max="18" width="14.875" style="3" customWidth="1"/>
    <col min="19" max="19" width="17.125" style="11" customWidth="1"/>
    <col min="20" max="16384" width="9" style="11"/>
  </cols>
  <sheetData>
    <row r="1" spans="1:18" x14ac:dyDescent="0.3">
      <c r="A1" s="1" t="s">
        <v>51</v>
      </c>
      <c r="B1" s="2"/>
      <c r="C1" s="3" t="s">
        <v>104</v>
      </c>
      <c r="D1" s="3" t="s">
        <v>105</v>
      </c>
      <c r="G1" s="6"/>
    </row>
    <row r="2" spans="1:18" x14ac:dyDescent="0.3">
      <c r="A2" s="1" t="s">
        <v>52</v>
      </c>
      <c r="B2" s="12"/>
      <c r="D2" s="79" t="s">
        <v>106</v>
      </c>
      <c r="E2" s="78" t="s">
        <v>107</v>
      </c>
      <c r="F2" s="77" t="s">
        <v>108</v>
      </c>
      <c r="G2" s="6"/>
    </row>
    <row r="3" spans="1:18" x14ac:dyDescent="0.3">
      <c r="D3" s="3" t="s">
        <v>109</v>
      </c>
      <c r="E3" s="76" t="s">
        <v>110</v>
      </c>
      <c r="F3" s="77" t="s">
        <v>112</v>
      </c>
      <c r="G3" s="6"/>
    </row>
    <row r="4" spans="1:18" x14ac:dyDescent="0.3">
      <c r="A4" s="14" t="s">
        <v>64</v>
      </c>
      <c r="D4" s="3" t="s">
        <v>113</v>
      </c>
      <c r="E4" s="76" t="s">
        <v>117</v>
      </c>
      <c r="F4" s="76" t="s">
        <v>115</v>
      </c>
      <c r="G4" s="76" t="s">
        <v>116</v>
      </c>
      <c r="O4" s="10" t="s">
        <v>69</v>
      </c>
      <c r="P4" s="3" t="s">
        <v>71</v>
      </c>
    </row>
    <row r="5" spans="1:18" x14ac:dyDescent="0.3">
      <c r="A5" s="15" t="s">
        <v>42</v>
      </c>
      <c r="B5" s="16" t="s">
        <v>53</v>
      </c>
      <c r="D5" s="3" t="s">
        <v>114</v>
      </c>
      <c r="E5" s="15" t="s">
        <v>42</v>
      </c>
      <c r="F5" s="16" t="s">
        <v>53</v>
      </c>
      <c r="G5" s="6"/>
      <c r="H5" s="16" t="s">
        <v>53</v>
      </c>
      <c r="I5" s="16" t="s">
        <v>53</v>
      </c>
      <c r="J5" s="16" t="s">
        <v>53</v>
      </c>
      <c r="K5" s="16" t="s">
        <v>53</v>
      </c>
      <c r="L5" s="16" t="s">
        <v>53</v>
      </c>
      <c r="M5" s="16" t="s">
        <v>53</v>
      </c>
      <c r="N5" s="16" t="s">
        <v>53</v>
      </c>
      <c r="O5" s="17" t="s">
        <v>53</v>
      </c>
      <c r="P5" s="16" t="s">
        <v>53</v>
      </c>
      <c r="Q5" s="6" t="s">
        <v>73</v>
      </c>
      <c r="R5" s="3" t="s">
        <v>75</v>
      </c>
    </row>
    <row r="6" spans="1:18" x14ac:dyDescent="0.3">
      <c r="A6" s="18" t="s">
        <v>0</v>
      </c>
      <c r="B6" s="19" t="s">
        <v>1</v>
      </c>
      <c r="C6" s="67" t="s">
        <v>103</v>
      </c>
      <c r="D6" s="68" t="s">
        <v>111</v>
      </c>
      <c r="E6" s="20" t="s">
        <v>2</v>
      </c>
      <c r="F6" s="21" t="s">
        <v>3</v>
      </c>
      <c r="G6" s="22" t="s">
        <v>4</v>
      </c>
      <c r="H6" s="23" t="s">
        <v>5</v>
      </c>
      <c r="I6" s="23" t="s">
        <v>6</v>
      </c>
      <c r="J6" s="24" t="s">
        <v>7</v>
      </c>
      <c r="K6" s="25" t="s">
        <v>8</v>
      </c>
      <c r="L6" s="25" t="s">
        <v>9</v>
      </c>
      <c r="M6" s="26" t="s">
        <v>10</v>
      </c>
      <c r="N6" s="27" t="s">
        <v>11</v>
      </c>
      <c r="O6" s="28" t="s">
        <v>68</v>
      </c>
      <c r="P6" s="27" t="s">
        <v>70</v>
      </c>
      <c r="Q6" s="3" t="s">
        <v>74</v>
      </c>
      <c r="R6" s="3" t="s">
        <v>76</v>
      </c>
    </row>
    <row r="7" spans="1:18" ht="17.25" customHeight="1" x14ac:dyDescent="0.3">
      <c r="A7" s="29">
        <v>50000</v>
      </c>
      <c r="B7" s="69" t="s">
        <v>12</v>
      </c>
      <c r="C7" s="30">
        <v>41500000</v>
      </c>
      <c r="D7" s="75">
        <f>SUM(A7/G7)</f>
        <v>22.727272727272727</v>
      </c>
      <c r="E7" s="31">
        <v>4812</v>
      </c>
      <c r="F7" s="5">
        <v>100000000</v>
      </c>
      <c r="G7" s="32">
        <v>2200</v>
      </c>
      <c r="H7" s="6">
        <f t="shared" ref="H7:H39" si="0">SUM(10000/(G7*0.7)*C7)</f>
        <v>269480519.48051947</v>
      </c>
      <c r="I7" s="61">
        <f t="shared" ref="I7:I39" si="1">SUM(10000/E7*100000000)</f>
        <v>207813798.83624274</v>
      </c>
      <c r="J7" s="3">
        <f t="shared" ref="J7:J39" si="2">SUM(10000/G7*C7)</f>
        <v>188636363.63636366</v>
      </c>
      <c r="K7" s="8">
        <f>SUM(J7*100/I7/100)</f>
        <v>0.90771818181818176</v>
      </c>
      <c r="L7" s="3">
        <f t="shared" ref="L7:L39" si="3">SUM(A7*I7/10000)</f>
        <v>1039068994.1812136</v>
      </c>
      <c r="M7" s="9">
        <f t="shared" ref="M7:M39" si="4">SUM(H7/10000*A7)</f>
        <v>1347402597.4025974</v>
      </c>
      <c r="N7" s="9">
        <f t="shared" ref="N7:N39" si="5">SUM(J7/10000*A7)</f>
        <v>943181818.18181825</v>
      </c>
      <c r="O7" s="33">
        <f>SUM(N7*0.97)</f>
        <v>914886363.63636363</v>
      </c>
      <c r="P7" s="6">
        <f>SUM(N7*0.95)</f>
        <v>896022727.27272725</v>
      </c>
      <c r="Q7" s="3">
        <f>SUM(O7/100000000)*4000</f>
        <v>36595.454545454544</v>
      </c>
      <c r="R7" s="3">
        <f>SUM(Q7*0.98)</f>
        <v>35863.545454545456</v>
      </c>
    </row>
    <row r="8" spans="1:18" x14ac:dyDescent="0.3">
      <c r="A8" s="34">
        <f>SUM(A7)</f>
        <v>50000</v>
      </c>
      <c r="B8" s="70" t="s">
        <v>13</v>
      </c>
      <c r="C8" s="30">
        <v>23888888</v>
      </c>
      <c r="D8" s="75">
        <f t="shared" ref="D8:D32" si="6">SUM(A8/G8)</f>
        <v>41.666666666666664</v>
      </c>
      <c r="E8" s="4">
        <f>SUM(E7)</f>
        <v>4812</v>
      </c>
      <c r="F8" s="5">
        <f>SUM(F7)</f>
        <v>100000000</v>
      </c>
      <c r="G8" s="32">
        <v>1200</v>
      </c>
      <c r="H8" s="6">
        <f t="shared" si="0"/>
        <v>284391523.80952382</v>
      </c>
      <c r="I8" s="61">
        <f t="shared" si="1"/>
        <v>207813798.83624274</v>
      </c>
      <c r="J8" s="3">
        <f t="shared" si="2"/>
        <v>199074066.66666669</v>
      </c>
      <c r="K8" s="8">
        <f t="shared" ref="K8:K39" si="7">SUM(J8*100/I8/100)</f>
        <v>0.95794440879999998</v>
      </c>
      <c r="L8" s="3">
        <f t="shared" si="3"/>
        <v>1039068994.1812136</v>
      </c>
      <c r="M8" s="9">
        <f t="shared" si="4"/>
        <v>1421957619.0476191</v>
      </c>
      <c r="N8" s="9">
        <f t="shared" si="5"/>
        <v>995370333.33333349</v>
      </c>
      <c r="O8" s="33">
        <f t="shared" ref="O8:O31" si="8">SUM(N8*0.97)</f>
        <v>965509223.33333349</v>
      </c>
      <c r="P8" s="6">
        <f t="shared" ref="P8:P31" si="9">SUM(N8*0.95)</f>
        <v>945601816.66666675</v>
      </c>
      <c r="Q8" s="3">
        <f t="shared" ref="Q8:Q31" si="10">SUM(O8/100000000)*4000</f>
        <v>38620.368933333339</v>
      </c>
      <c r="R8" s="3">
        <f t="shared" ref="R8:R31" si="11">SUM(Q8*0.98)</f>
        <v>37847.961554666668</v>
      </c>
    </row>
    <row r="9" spans="1:18" x14ac:dyDescent="0.3">
      <c r="A9" s="34">
        <f t="shared" ref="A9:A39" si="12">SUM(A8)</f>
        <v>50000</v>
      </c>
      <c r="B9" s="70" t="s">
        <v>14</v>
      </c>
      <c r="C9" s="30">
        <v>49900000</v>
      </c>
      <c r="D9" s="75">
        <f t="shared" si="6"/>
        <v>22.727272727272727</v>
      </c>
      <c r="E9" s="4">
        <f t="shared" ref="E9:E32" si="13">SUM(E8)</f>
        <v>4812</v>
      </c>
      <c r="F9" s="5">
        <f t="shared" ref="F9:F39" si="14">SUM(F8)</f>
        <v>100000000</v>
      </c>
      <c r="G9" s="32">
        <v>2200</v>
      </c>
      <c r="H9" s="6">
        <f t="shared" si="0"/>
        <v>324025974.02597404</v>
      </c>
      <c r="I9" s="61">
        <f t="shared" si="1"/>
        <v>207813798.83624274</v>
      </c>
      <c r="J9" s="3">
        <f t="shared" si="2"/>
        <v>226818181.81818184</v>
      </c>
      <c r="K9" s="8">
        <f t="shared" si="7"/>
        <v>1.091449090909091</v>
      </c>
      <c r="L9" s="3">
        <f t="shared" si="3"/>
        <v>1039068994.1812136</v>
      </c>
      <c r="M9" s="9">
        <f t="shared" si="4"/>
        <v>1620129870.1298702</v>
      </c>
      <c r="N9" s="9">
        <f t="shared" si="5"/>
        <v>1134090909.0909092</v>
      </c>
      <c r="O9" s="33">
        <f t="shared" si="8"/>
        <v>1100068181.818182</v>
      </c>
      <c r="P9" s="6">
        <f t="shared" si="9"/>
        <v>1077386363.6363637</v>
      </c>
      <c r="Q9" s="3">
        <f t="shared" si="10"/>
        <v>44002.727272727279</v>
      </c>
      <c r="R9" s="3">
        <f t="shared" si="11"/>
        <v>43122.672727272729</v>
      </c>
    </row>
    <row r="10" spans="1:18" x14ac:dyDescent="0.3">
      <c r="A10" s="34">
        <f t="shared" si="12"/>
        <v>50000</v>
      </c>
      <c r="B10" s="71" t="s">
        <v>28</v>
      </c>
      <c r="C10" s="30">
        <v>424444443</v>
      </c>
      <c r="D10" s="75">
        <f t="shared" si="6"/>
        <v>2.6315789473684212</v>
      </c>
      <c r="E10" s="4">
        <f t="shared" si="13"/>
        <v>4812</v>
      </c>
      <c r="F10" s="5">
        <f t="shared" si="14"/>
        <v>100000000</v>
      </c>
      <c r="G10" s="32">
        <v>19000</v>
      </c>
      <c r="H10" s="6">
        <f t="shared" si="0"/>
        <v>319131160.1503759</v>
      </c>
      <c r="I10" s="61">
        <f t="shared" si="1"/>
        <v>207813798.83624274</v>
      </c>
      <c r="J10" s="3">
        <f t="shared" si="2"/>
        <v>223391812.10526314</v>
      </c>
      <c r="K10" s="8">
        <f t="shared" si="7"/>
        <v>1.0749613998505263</v>
      </c>
      <c r="L10" s="3">
        <f t="shared" si="3"/>
        <v>1039068994.1812136</v>
      </c>
      <c r="M10" s="9">
        <f t="shared" si="4"/>
        <v>1595655800.7518795</v>
      </c>
      <c r="N10" s="9">
        <f t="shared" si="5"/>
        <v>1116959060.5263157</v>
      </c>
      <c r="O10" s="33">
        <f t="shared" si="8"/>
        <v>1083450288.7105262</v>
      </c>
      <c r="P10" s="6">
        <f t="shared" si="9"/>
        <v>1061111107.4999999</v>
      </c>
      <c r="Q10" s="3">
        <f t="shared" si="10"/>
        <v>43338.011548421047</v>
      </c>
      <c r="R10" s="3">
        <f t="shared" si="11"/>
        <v>42471.251317452625</v>
      </c>
    </row>
    <row r="11" spans="1:18" x14ac:dyDescent="0.3">
      <c r="A11" s="34">
        <f t="shared" si="12"/>
        <v>50000</v>
      </c>
      <c r="B11" s="71" t="s">
        <v>29</v>
      </c>
      <c r="C11" s="30">
        <v>32999999</v>
      </c>
      <c r="D11" s="75">
        <f t="shared" si="6"/>
        <v>5.5555555555555554</v>
      </c>
      <c r="E11" s="4">
        <f t="shared" si="13"/>
        <v>4812</v>
      </c>
      <c r="F11" s="5">
        <f t="shared" si="14"/>
        <v>100000000</v>
      </c>
      <c r="G11" s="32">
        <v>9000</v>
      </c>
      <c r="H11" s="6">
        <f t="shared" si="0"/>
        <v>52380950.793650791</v>
      </c>
      <c r="I11" s="61">
        <f t="shared" si="1"/>
        <v>207813798.83624274</v>
      </c>
      <c r="J11" s="3">
        <f t="shared" si="2"/>
        <v>36666665.55555556</v>
      </c>
      <c r="K11" s="8">
        <f t="shared" si="7"/>
        <v>0.17643999465333335</v>
      </c>
      <c r="L11" s="3">
        <f t="shared" si="3"/>
        <v>1039068994.1812136</v>
      </c>
      <c r="M11" s="9">
        <f t="shared" si="4"/>
        <v>261904753.96825394</v>
      </c>
      <c r="N11" s="9">
        <f t="shared" si="5"/>
        <v>183333327.77777779</v>
      </c>
      <c r="O11" s="33">
        <f t="shared" si="8"/>
        <v>177833327.94444445</v>
      </c>
      <c r="P11" s="6">
        <f t="shared" si="9"/>
        <v>174166661.3888889</v>
      </c>
      <c r="Q11" s="3">
        <f t="shared" si="10"/>
        <v>7113.3331177777773</v>
      </c>
      <c r="R11" s="3">
        <f t="shared" si="11"/>
        <v>6971.0664554222212</v>
      </c>
    </row>
    <row r="12" spans="1:18" x14ac:dyDescent="0.3">
      <c r="A12" s="34">
        <f t="shared" si="12"/>
        <v>50000</v>
      </c>
      <c r="B12" s="70" t="s">
        <v>15</v>
      </c>
      <c r="C12" s="30">
        <v>518880000</v>
      </c>
      <c r="D12" s="75">
        <f t="shared" si="6"/>
        <v>2.2727272727272729</v>
      </c>
      <c r="E12" s="4">
        <f t="shared" si="13"/>
        <v>4812</v>
      </c>
      <c r="F12" s="5">
        <f>SUM(F11)</f>
        <v>100000000</v>
      </c>
      <c r="G12" s="32">
        <v>22000</v>
      </c>
      <c r="H12" s="6">
        <f t="shared" si="0"/>
        <v>336935064.93506497</v>
      </c>
      <c r="I12" s="61">
        <f t="shared" si="1"/>
        <v>207813798.83624274</v>
      </c>
      <c r="J12" s="3">
        <f t="shared" si="2"/>
        <v>235854545.45454544</v>
      </c>
      <c r="K12" s="8">
        <f t="shared" si="7"/>
        <v>1.1349320727272727</v>
      </c>
      <c r="L12" s="3">
        <f t="shared" si="3"/>
        <v>1039068994.1812136</v>
      </c>
      <c r="M12" s="9">
        <f t="shared" si="4"/>
        <v>1684675324.6753247</v>
      </c>
      <c r="N12" s="9">
        <f t="shared" si="5"/>
        <v>1179272727.2727273</v>
      </c>
      <c r="O12" s="33">
        <f t="shared" si="8"/>
        <v>1143894545.4545455</v>
      </c>
      <c r="P12" s="6">
        <f t="shared" si="9"/>
        <v>1120309090.9090908</v>
      </c>
      <c r="Q12" s="3">
        <f t="shared" si="10"/>
        <v>45755.781818181822</v>
      </c>
      <c r="R12" s="3">
        <f t="shared" si="11"/>
        <v>44840.666181818182</v>
      </c>
    </row>
    <row r="13" spans="1:18" x14ac:dyDescent="0.3">
      <c r="A13" s="34">
        <f t="shared" si="12"/>
        <v>50000</v>
      </c>
      <c r="B13" s="70" t="s">
        <v>16</v>
      </c>
      <c r="C13" s="30">
        <v>985555555</v>
      </c>
      <c r="D13" s="75">
        <f t="shared" si="6"/>
        <v>1.1363636363636365</v>
      </c>
      <c r="E13" s="4">
        <f>SUM(E12)</f>
        <v>4812</v>
      </c>
      <c r="F13" s="5">
        <f t="shared" si="14"/>
        <v>100000000</v>
      </c>
      <c r="G13" s="32">
        <v>44000</v>
      </c>
      <c r="H13" s="6">
        <f t="shared" si="0"/>
        <v>319985569.80519485</v>
      </c>
      <c r="I13" s="61">
        <f t="shared" si="1"/>
        <v>207813798.83624274</v>
      </c>
      <c r="J13" s="3">
        <f t="shared" si="2"/>
        <v>223989898.86363634</v>
      </c>
      <c r="K13" s="8">
        <f>SUM(J13*100/I13/100)</f>
        <v>1.077839393331818</v>
      </c>
      <c r="L13" s="3">
        <f t="shared" si="3"/>
        <v>1039068994.1812136</v>
      </c>
      <c r="M13" s="9">
        <f t="shared" si="4"/>
        <v>1599927849.0259743</v>
      </c>
      <c r="N13" s="9">
        <f t="shared" si="5"/>
        <v>1119949494.3181818</v>
      </c>
      <c r="O13" s="33">
        <f t="shared" si="8"/>
        <v>1086351009.4886363</v>
      </c>
      <c r="P13" s="6">
        <f t="shared" si="9"/>
        <v>1063952019.6022726</v>
      </c>
      <c r="Q13" s="3">
        <f t="shared" si="10"/>
        <v>43454.040379545455</v>
      </c>
      <c r="R13" s="3">
        <f t="shared" si="11"/>
        <v>42584.959571954547</v>
      </c>
    </row>
    <row r="14" spans="1:18" x14ac:dyDescent="0.3">
      <c r="A14" s="34">
        <f t="shared" si="12"/>
        <v>50000</v>
      </c>
      <c r="B14" s="70" t="s">
        <v>17</v>
      </c>
      <c r="C14" s="30">
        <v>250000000</v>
      </c>
      <c r="D14" s="75">
        <f t="shared" si="6"/>
        <v>4.6296296296296298</v>
      </c>
      <c r="E14" s="4">
        <f t="shared" si="13"/>
        <v>4812</v>
      </c>
      <c r="F14" s="5">
        <f t="shared" si="14"/>
        <v>100000000</v>
      </c>
      <c r="G14" s="32">
        <v>10800</v>
      </c>
      <c r="H14" s="6">
        <f t="shared" si="0"/>
        <v>330687830.68783075</v>
      </c>
      <c r="I14" s="61">
        <f t="shared" si="1"/>
        <v>207813798.83624274</v>
      </c>
      <c r="J14" s="3">
        <f t="shared" si="2"/>
        <v>231481481.48148149</v>
      </c>
      <c r="K14" s="8">
        <f t="shared" si="7"/>
        <v>1.1138888888888889</v>
      </c>
      <c r="L14" s="3">
        <f t="shared" si="3"/>
        <v>1039068994.1812136</v>
      </c>
      <c r="M14" s="9">
        <f t="shared" si="4"/>
        <v>1653439153.4391537</v>
      </c>
      <c r="N14" s="9">
        <f t="shared" si="5"/>
        <v>1157407407.4074075</v>
      </c>
      <c r="O14" s="33">
        <f t="shared" si="8"/>
        <v>1122685185.1851852</v>
      </c>
      <c r="P14" s="6">
        <f t="shared" si="9"/>
        <v>1099537037.0370371</v>
      </c>
      <c r="Q14" s="3">
        <f t="shared" si="10"/>
        <v>44907.407407407401</v>
      </c>
      <c r="R14" s="3">
        <f t="shared" si="11"/>
        <v>44009.259259259255</v>
      </c>
    </row>
    <row r="15" spans="1:18" x14ac:dyDescent="0.3">
      <c r="A15" s="34">
        <f t="shared" si="12"/>
        <v>50000</v>
      </c>
      <c r="B15" s="70" t="s">
        <v>18</v>
      </c>
      <c r="C15" s="30">
        <v>465000000</v>
      </c>
      <c r="D15" s="75">
        <f t="shared" si="6"/>
        <v>2.5252525252525251</v>
      </c>
      <c r="E15" s="4">
        <f t="shared" si="13"/>
        <v>4812</v>
      </c>
      <c r="F15" s="5">
        <f t="shared" si="14"/>
        <v>100000000</v>
      </c>
      <c r="G15" s="32">
        <v>19800</v>
      </c>
      <c r="H15" s="6">
        <f t="shared" si="0"/>
        <v>335497835.49783552</v>
      </c>
      <c r="I15" s="61">
        <f t="shared" si="1"/>
        <v>207813798.83624274</v>
      </c>
      <c r="J15" s="3">
        <f t="shared" si="2"/>
        <v>234848484.84848487</v>
      </c>
      <c r="K15" s="8">
        <f t="shared" si="7"/>
        <v>1.1300909090909093</v>
      </c>
      <c r="L15" s="3">
        <f t="shared" si="3"/>
        <v>1039068994.1812136</v>
      </c>
      <c r="M15" s="9">
        <f t="shared" si="4"/>
        <v>1677489177.4891777</v>
      </c>
      <c r="N15" s="9">
        <f t="shared" si="5"/>
        <v>1174242424.2424245</v>
      </c>
      <c r="O15" s="33">
        <f t="shared" si="8"/>
        <v>1139015151.5151517</v>
      </c>
      <c r="P15" s="6">
        <f t="shared" si="9"/>
        <v>1115530303.0303032</v>
      </c>
      <c r="Q15" s="3">
        <f t="shared" si="10"/>
        <v>45560.606060606071</v>
      </c>
      <c r="R15" s="3">
        <f t="shared" si="11"/>
        <v>44649.393939393951</v>
      </c>
    </row>
    <row r="16" spans="1:18" x14ac:dyDescent="0.3">
      <c r="A16" s="34">
        <f t="shared" si="12"/>
        <v>50000</v>
      </c>
      <c r="B16" s="70" t="s">
        <v>19</v>
      </c>
      <c r="C16" s="30">
        <v>72500000</v>
      </c>
      <c r="D16" s="75">
        <f t="shared" si="6"/>
        <v>18.518518518518519</v>
      </c>
      <c r="E16" s="4">
        <f t="shared" si="13"/>
        <v>4812</v>
      </c>
      <c r="F16" s="5">
        <f t="shared" si="14"/>
        <v>100000000</v>
      </c>
      <c r="G16" s="32">
        <v>2700</v>
      </c>
      <c r="H16" s="6">
        <f t="shared" si="0"/>
        <v>383597883.5978837</v>
      </c>
      <c r="I16" s="61">
        <f t="shared" si="1"/>
        <v>207813798.83624274</v>
      </c>
      <c r="J16" s="3">
        <f t="shared" si="2"/>
        <v>268518518.51851851</v>
      </c>
      <c r="K16" s="8">
        <f t="shared" si="7"/>
        <v>1.292111111111111</v>
      </c>
      <c r="L16" s="3">
        <f t="shared" si="3"/>
        <v>1039068994.1812136</v>
      </c>
      <c r="M16" s="9">
        <f t="shared" si="4"/>
        <v>1917989417.9894185</v>
      </c>
      <c r="N16" s="9">
        <f t="shared" si="5"/>
        <v>1342592592.5925925</v>
      </c>
      <c r="O16" s="33">
        <f t="shared" si="8"/>
        <v>1302314814.8148146</v>
      </c>
      <c r="P16" s="6">
        <f t="shared" si="9"/>
        <v>1275462962.9629629</v>
      </c>
      <c r="Q16" s="3">
        <f t="shared" si="10"/>
        <v>52092.592592592584</v>
      </c>
      <c r="R16" s="3">
        <f t="shared" si="11"/>
        <v>51050.74074074073</v>
      </c>
    </row>
    <row r="17" spans="1:18" x14ac:dyDescent="0.3">
      <c r="A17" s="34">
        <f t="shared" si="12"/>
        <v>50000</v>
      </c>
      <c r="B17" s="70" t="s">
        <v>20</v>
      </c>
      <c r="C17" s="30">
        <v>649999999</v>
      </c>
      <c r="D17" s="75">
        <f t="shared" si="6"/>
        <v>2</v>
      </c>
      <c r="E17" s="4">
        <f t="shared" si="13"/>
        <v>4812</v>
      </c>
      <c r="F17" s="5">
        <f t="shared" si="14"/>
        <v>100000000</v>
      </c>
      <c r="G17" s="32">
        <v>25000</v>
      </c>
      <c r="H17" s="6">
        <f t="shared" si="0"/>
        <v>371428570.85714287</v>
      </c>
      <c r="I17" s="61">
        <f t="shared" si="1"/>
        <v>207813798.83624274</v>
      </c>
      <c r="J17" s="3">
        <f t="shared" si="2"/>
        <v>259999999.60000002</v>
      </c>
      <c r="K17" s="8">
        <f>SUM(J17*100/I17/100)</f>
        <v>1.2511199980752001</v>
      </c>
      <c r="L17" s="3">
        <f t="shared" si="3"/>
        <v>1039068994.1812136</v>
      </c>
      <c r="M17" s="9">
        <f t="shared" si="4"/>
        <v>1857142854.2857141</v>
      </c>
      <c r="N17" s="9">
        <f t="shared" si="5"/>
        <v>1299999998</v>
      </c>
      <c r="O17" s="33">
        <f t="shared" si="8"/>
        <v>1260999998.0599999</v>
      </c>
      <c r="P17" s="6">
        <f t="shared" si="9"/>
        <v>1234999998.0999999</v>
      </c>
      <c r="Q17" s="3">
        <f t="shared" si="10"/>
        <v>50439.999922399998</v>
      </c>
      <c r="R17" s="3">
        <f t="shared" si="11"/>
        <v>49431.199923952001</v>
      </c>
    </row>
    <row r="18" spans="1:18" x14ac:dyDescent="0.3">
      <c r="A18" s="34">
        <f t="shared" si="12"/>
        <v>50000</v>
      </c>
      <c r="B18" s="74" t="s">
        <v>21</v>
      </c>
      <c r="C18" s="30">
        <v>1300000000</v>
      </c>
      <c r="D18" s="75">
        <f t="shared" si="6"/>
        <v>1.0416666666666667</v>
      </c>
      <c r="E18" s="4">
        <f t="shared" si="13"/>
        <v>4812</v>
      </c>
      <c r="F18" s="5">
        <f t="shared" si="14"/>
        <v>100000000</v>
      </c>
      <c r="G18" s="32">
        <v>48000</v>
      </c>
      <c r="H18" s="6">
        <f t="shared" si="0"/>
        <v>386904761.90476191</v>
      </c>
      <c r="I18" s="61">
        <f t="shared" si="1"/>
        <v>207813798.83624274</v>
      </c>
      <c r="J18" s="3">
        <f t="shared" si="2"/>
        <v>270833333.33333337</v>
      </c>
      <c r="K18" s="8">
        <f t="shared" si="7"/>
        <v>1.3032500000000002</v>
      </c>
      <c r="L18" s="3">
        <f t="shared" si="3"/>
        <v>1039068994.1812136</v>
      </c>
      <c r="M18" s="9">
        <f t="shared" si="4"/>
        <v>1934523809.5238094</v>
      </c>
      <c r="N18" s="9">
        <f t="shared" si="5"/>
        <v>1354166666.6666667</v>
      </c>
      <c r="O18" s="33">
        <f t="shared" si="8"/>
        <v>1313541666.6666667</v>
      </c>
      <c r="P18" s="6">
        <f t="shared" si="9"/>
        <v>1286458333.3333333</v>
      </c>
      <c r="Q18" s="3">
        <f t="shared" si="10"/>
        <v>52541.666666666672</v>
      </c>
      <c r="R18" s="3">
        <f t="shared" si="11"/>
        <v>51490.833333333336</v>
      </c>
    </row>
    <row r="19" spans="1:18" x14ac:dyDescent="0.3">
      <c r="A19" s="34">
        <f t="shared" si="12"/>
        <v>50000</v>
      </c>
      <c r="B19" s="70" t="s">
        <v>30</v>
      </c>
      <c r="C19" s="30">
        <v>99999999</v>
      </c>
      <c r="D19" s="75">
        <f t="shared" si="6"/>
        <v>8.4745762711864412</v>
      </c>
      <c r="E19" s="4">
        <f t="shared" si="13"/>
        <v>4812</v>
      </c>
      <c r="F19" s="5">
        <f t="shared" si="14"/>
        <v>100000000</v>
      </c>
      <c r="G19" s="32">
        <v>5900</v>
      </c>
      <c r="H19" s="6">
        <f t="shared" si="0"/>
        <v>242130748.18401936</v>
      </c>
      <c r="I19" s="61">
        <f t="shared" si="1"/>
        <v>207813798.83624274</v>
      </c>
      <c r="J19" s="3">
        <f t="shared" si="2"/>
        <v>169491523.72881356</v>
      </c>
      <c r="K19" s="8">
        <f t="shared" si="7"/>
        <v>0.8155932121830507</v>
      </c>
      <c r="L19" s="3">
        <f t="shared" si="3"/>
        <v>1039068994.1812136</v>
      </c>
      <c r="M19" s="9">
        <f t="shared" si="4"/>
        <v>1210653740.9200969</v>
      </c>
      <c r="N19" s="9">
        <f t="shared" si="5"/>
        <v>847457618.64406776</v>
      </c>
      <c r="O19" s="33">
        <f t="shared" si="8"/>
        <v>822033890.08474576</v>
      </c>
      <c r="P19" s="6">
        <f t="shared" si="9"/>
        <v>805084737.71186435</v>
      </c>
      <c r="Q19" s="3">
        <f t="shared" si="10"/>
        <v>32881.355603389828</v>
      </c>
      <c r="R19" s="3">
        <f t="shared" si="11"/>
        <v>32223.728491322032</v>
      </c>
    </row>
    <row r="20" spans="1:18" ht="16.5" customHeight="1" x14ac:dyDescent="0.3">
      <c r="A20" s="34">
        <f t="shared" si="12"/>
        <v>50000</v>
      </c>
      <c r="B20" s="71" t="s">
        <v>45</v>
      </c>
      <c r="C20" s="30">
        <v>42222222</v>
      </c>
      <c r="D20" s="75">
        <f t="shared" si="6"/>
        <v>26.315789473684209</v>
      </c>
      <c r="E20" s="4">
        <f t="shared" si="13"/>
        <v>4812</v>
      </c>
      <c r="F20" s="5">
        <f t="shared" si="14"/>
        <v>100000000</v>
      </c>
      <c r="G20" s="32">
        <v>1900</v>
      </c>
      <c r="H20" s="6">
        <f t="shared" si="0"/>
        <v>317460315.78947371</v>
      </c>
      <c r="I20" s="61">
        <f t="shared" si="1"/>
        <v>207813798.83624274</v>
      </c>
      <c r="J20" s="3">
        <f t="shared" si="2"/>
        <v>222222221.05263159</v>
      </c>
      <c r="K20" s="8">
        <f>SUM(J20*100/I20/100)</f>
        <v>1.069333327705263</v>
      </c>
      <c r="L20" s="3">
        <f t="shared" si="3"/>
        <v>1039068994.1812136</v>
      </c>
      <c r="M20" s="9">
        <f t="shared" si="4"/>
        <v>1587301578.9473686</v>
      </c>
      <c r="N20" s="9">
        <f t="shared" si="5"/>
        <v>1111111105.2631578</v>
      </c>
      <c r="O20" s="33">
        <f t="shared" si="8"/>
        <v>1077777772.105263</v>
      </c>
      <c r="P20" s="6">
        <f t="shared" si="9"/>
        <v>1055555549.9999999</v>
      </c>
      <c r="Q20" s="3">
        <f t="shared" si="10"/>
        <v>43111.110884210517</v>
      </c>
      <c r="R20" s="3">
        <f t="shared" si="11"/>
        <v>42248.888666526305</v>
      </c>
    </row>
    <row r="21" spans="1:18" x14ac:dyDescent="0.3">
      <c r="A21" s="34">
        <f t="shared" si="12"/>
        <v>50000</v>
      </c>
      <c r="B21" s="71" t="s">
        <v>50</v>
      </c>
      <c r="C21" s="30">
        <v>179999999</v>
      </c>
      <c r="D21" s="75">
        <f t="shared" si="6"/>
        <v>7.2463768115942031</v>
      </c>
      <c r="E21" s="4">
        <f t="shared" si="13"/>
        <v>4812</v>
      </c>
      <c r="F21" s="5">
        <f t="shared" si="14"/>
        <v>100000000</v>
      </c>
      <c r="G21" s="32">
        <v>6900</v>
      </c>
      <c r="H21" s="6">
        <f t="shared" si="0"/>
        <v>372670805.38302279</v>
      </c>
      <c r="I21" s="61">
        <f t="shared" si="1"/>
        <v>207813798.83624274</v>
      </c>
      <c r="J21" s="3">
        <f t="shared" si="2"/>
        <v>260869563.76811594</v>
      </c>
      <c r="K21" s="8">
        <f t="shared" si="7"/>
        <v>1.2553043408521738</v>
      </c>
      <c r="L21" s="3">
        <f t="shared" si="3"/>
        <v>1039068994.1812136</v>
      </c>
      <c r="M21" s="9">
        <f t="shared" si="4"/>
        <v>1863354026.9151142</v>
      </c>
      <c r="N21" s="9">
        <f t="shared" si="5"/>
        <v>1304347818.8405797</v>
      </c>
      <c r="O21" s="33">
        <f t="shared" si="8"/>
        <v>1265217384.2753623</v>
      </c>
      <c r="P21" s="6">
        <f t="shared" si="9"/>
        <v>1239130427.8985507</v>
      </c>
      <c r="Q21" s="3">
        <f t="shared" si="10"/>
        <v>50608.695371014488</v>
      </c>
      <c r="R21" s="3">
        <f t="shared" si="11"/>
        <v>49596.521463594196</v>
      </c>
    </row>
    <row r="22" spans="1:18" x14ac:dyDescent="0.3">
      <c r="A22" s="34">
        <f t="shared" si="12"/>
        <v>50000</v>
      </c>
      <c r="B22" s="72" t="s">
        <v>55</v>
      </c>
      <c r="C22" s="30">
        <v>48499999</v>
      </c>
      <c r="D22" s="75">
        <f t="shared" si="6"/>
        <v>20.833333333333332</v>
      </c>
      <c r="E22" s="4">
        <f t="shared" si="13"/>
        <v>4812</v>
      </c>
      <c r="F22" s="5">
        <f t="shared" si="14"/>
        <v>100000000</v>
      </c>
      <c r="G22" s="32">
        <v>2400</v>
      </c>
      <c r="H22" s="6">
        <f t="shared" ref="H22" si="15">SUM(10000/(G22*0.7)*C22)</f>
        <v>288690470.23809522</v>
      </c>
      <c r="I22" s="61">
        <f t="shared" ref="I22" si="16">SUM(10000/E22*100000000)</f>
        <v>207813798.83624274</v>
      </c>
      <c r="J22" s="3">
        <f t="shared" ref="J22" si="17">SUM(10000/G22*C22)</f>
        <v>202083329.16666669</v>
      </c>
      <c r="K22" s="8">
        <f t="shared" ref="K22" si="18">SUM(J22*100/I22/100)</f>
        <v>0.9724249799500001</v>
      </c>
      <c r="L22" s="3">
        <f t="shared" ref="L22" si="19">SUM(A22*I22/10000)</f>
        <v>1039068994.1812136</v>
      </c>
      <c r="M22" s="9">
        <f t="shared" ref="M22" si="20">SUM(H22/10000*A22)</f>
        <v>1443452351.1904762</v>
      </c>
      <c r="N22" s="9">
        <f t="shared" ref="N22" si="21">SUM(J22/10000*A22)</f>
        <v>1010416645.8333335</v>
      </c>
      <c r="O22" s="33">
        <f t="shared" si="8"/>
        <v>980104146.45833349</v>
      </c>
      <c r="P22" s="6">
        <f t="shared" si="9"/>
        <v>959895813.54166675</v>
      </c>
      <c r="Q22" s="3">
        <f t="shared" si="10"/>
        <v>39204.165858333341</v>
      </c>
      <c r="R22" s="3">
        <f t="shared" si="11"/>
        <v>38420.082541166674</v>
      </c>
    </row>
    <row r="23" spans="1:18" x14ac:dyDescent="0.3">
      <c r="A23" s="34">
        <f t="shared" si="12"/>
        <v>50000</v>
      </c>
      <c r="B23" s="72" t="s">
        <v>57</v>
      </c>
      <c r="C23" s="30">
        <v>1210000000</v>
      </c>
      <c r="D23" s="75">
        <f t="shared" si="6"/>
        <v>1.0288065843621399</v>
      </c>
      <c r="E23" s="4">
        <f t="shared" si="13"/>
        <v>4812</v>
      </c>
      <c r="F23" s="5">
        <f t="shared" si="14"/>
        <v>100000000</v>
      </c>
      <c r="G23" s="32">
        <v>48600</v>
      </c>
      <c r="H23" s="6">
        <f t="shared" ref="H23" si="22">SUM(10000/(G23*0.7)*C23)</f>
        <v>355673133.45091122</v>
      </c>
      <c r="I23" s="61">
        <f t="shared" ref="I23" si="23">SUM(10000/E23*100000000)</f>
        <v>207813798.83624274</v>
      </c>
      <c r="J23" s="3">
        <f t="shared" ref="J23" si="24">SUM(10000/G23*C23)</f>
        <v>248971193.41563788</v>
      </c>
      <c r="K23" s="8">
        <f t="shared" ref="K23" si="25">SUM(J23*100/I23/100)</f>
        <v>1.1980493827160494</v>
      </c>
      <c r="L23" s="3">
        <f t="shared" ref="L23" si="26">SUM(A23*I23/10000)</f>
        <v>1039068994.1812136</v>
      </c>
      <c r="M23" s="9">
        <f t="shared" ref="M23" si="27">SUM(H23/10000*A23)</f>
        <v>1778365667.2545559</v>
      </c>
      <c r="N23" s="9">
        <f t="shared" ref="N23" si="28">SUM(J23/10000*A23)</f>
        <v>1244855967.0781894</v>
      </c>
      <c r="O23" s="33">
        <f t="shared" si="8"/>
        <v>1207510288.0658436</v>
      </c>
      <c r="P23" s="6">
        <f t="shared" si="9"/>
        <v>1182613168.7242799</v>
      </c>
      <c r="Q23" s="3">
        <f t="shared" si="10"/>
        <v>48300.411522633745</v>
      </c>
      <c r="R23" s="3">
        <f t="shared" si="11"/>
        <v>47334.403292181072</v>
      </c>
    </row>
    <row r="24" spans="1:18" x14ac:dyDescent="0.3">
      <c r="A24" s="34">
        <f t="shared" si="12"/>
        <v>50000</v>
      </c>
      <c r="B24" s="73" t="s">
        <v>58</v>
      </c>
      <c r="C24" s="30">
        <v>289999999</v>
      </c>
      <c r="D24" s="75">
        <f t="shared" si="6"/>
        <v>3.3557046979865772</v>
      </c>
      <c r="E24" s="4">
        <f t="shared" si="13"/>
        <v>4812</v>
      </c>
      <c r="F24" s="5">
        <f t="shared" si="14"/>
        <v>100000000</v>
      </c>
      <c r="G24" s="32">
        <v>14900</v>
      </c>
      <c r="H24" s="6">
        <f t="shared" ref="H24" si="29">SUM(10000/(G24*0.7)*C24)</f>
        <v>278044102.58868647</v>
      </c>
      <c r="I24" s="61">
        <f t="shared" ref="I24" si="30">SUM(10000/E24*100000000)</f>
        <v>207813798.83624274</v>
      </c>
      <c r="J24" s="3">
        <f t="shared" ref="J24" si="31">SUM(10000/G24*C24)</f>
        <v>194630871.81208053</v>
      </c>
      <c r="K24" s="8">
        <f t="shared" ref="K24" si="32">SUM(J24*100/I24/100)</f>
        <v>0.93656375515973156</v>
      </c>
      <c r="L24" s="3">
        <f t="shared" ref="L24" si="33">SUM(A24*I24/10000)</f>
        <v>1039068994.1812136</v>
      </c>
      <c r="M24" s="9">
        <f t="shared" ref="M24" si="34">SUM(H24/10000*A24)</f>
        <v>1390220512.9434323</v>
      </c>
      <c r="N24" s="9">
        <f t="shared" ref="N24" si="35">SUM(J24/10000*A24)</f>
        <v>973154359.06040275</v>
      </c>
      <c r="O24" s="33">
        <f t="shared" si="8"/>
        <v>943959728.28859067</v>
      </c>
      <c r="P24" s="6">
        <f t="shared" si="9"/>
        <v>924496641.10738254</v>
      </c>
      <c r="Q24" s="3">
        <f t="shared" si="10"/>
        <v>37758.389131543627</v>
      </c>
      <c r="R24" s="3">
        <f t="shared" si="11"/>
        <v>37003.221348912753</v>
      </c>
    </row>
    <row r="25" spans="1:18" x14ac:dyDescent="0.3">
      <c r="A25" s="34">
        <f t="shared" si="12"/>
        <v>50000</v>
      </c>
      <c r="B25" s="73" t="s">
        <v>59</v>
      </c>
      <c r="C25" s="30">
        <v>6600000000</v>
      </c>
      <c r="D25" s="75">
        <f t="shared" si="6"/>
        <v>0.125</v>
      </c>
      <c r="E25" s="4">
        <f t="shared" si="13"/>
        <v>4812</v>
      </c>
      <c r="F25" s="5">
        <f t="shared" si="14"/>
        <v>100000000</v>
      </c>
      <c r="G25" s="32">
        <v>400000</v>
      </c>
      <c r="H25" s="6">
        <f t="shared" ref="H25" si="36">SUM(10000/(G25*0.7)*C25)</f>
        <v>235714285.7142857</v>
      </c>
      <c r="I25" s="61">
        <f t="shared" ref="I25" si="37">SUM(10000/E25*100000000)</f>
        <v>207813798.83624274</v>
      </c>
      <c r="J25" s="3">
        <f t="shared" ref="J25" si="38">SUM(10000/G25*C25)</f>
        <v>165000000</v>
      </c>
      <c r="K25" s="8">
        <f t="shared" ref="K25" si="39">SUM(J25*100/I25/100)</f>
        <v>0.79397999999999991</v>
      </c>
      <c r="L25" s="3">
        <f t="shared" ref="L25" si="40">SUM(A25*I25/10000)</f>
        <v>1039068994.1812136</v>
      </c>
      <c r="M25" s="9">
        <f t="shared" ref="M25" si="41">SUM(H25/10000*A25)</f>
        <v>1178571428.5714285</v>
      </c>
      <c r="N25" s="9">
        <f t="shared" ref="N25" si="42">SUM(J25/10000*A25)</f>
        <v>825000000</v>
      </c>
      <c r="O25" s="33">
        <f t="shared" si="8"/>
        <v>800250000</v>
      </c>
      <c r="P25" s="6">
        <f t="shared" si="9"/>
        <v>783750000</v>
      </c>
      <c r="Q25" s="3">
        <f t="shared" si="10"/>
        <v>32009.999999999996</v>
      </c>
      <c r="R25" s="3">
        <f t="shared" si="11"/>
        <v>31369.799999999996</v>
      </c>
    </row>
    <row r="26" spans="1:18" x14ac:dyDescent="0.3">
      <c r="A26" s="34">
        <f t="shared" si="12"/>
        <v>50000</v>
      </c>
      <c r="B26" s="73" t="s">
        <v>60</v>
      </c>
      <c r="C26" s="30">
        <v>7833320000</v>
      </c>
      <c r="D26" s="75">
        <f t="shared" si="6"/>
        <v>0.125</v>
      </c>
      <c r="E26" s="4">
        <f t="shared" si="13"/>
        <v>4812</v>
      </c>
      <c r="F26" s="5">
        <f t="shared" si="14"/>
        <v>100000000</v>
      </c>
      <c r="G26" s="32">
        <v>400000</v>
      </c>
      <c r="H26" s="6">
        <f t="shared" ref="H26:H27" si="43">SUM(10000/(G26*0.7)*C26)</f>
        <v>279761428.57142854</v>
      </c>
      <c r="I26" s="61">
        <f t="shared" ref="I26:I27" si="44">SUM(10000/E26*100000000)</f>
        <v>207813798.83624274</v>
      </c>
      <c r="J26" s="3">
        <f t="shared" ref="J26:J27" si="45">SUM(10000/G26*C26)</f>
        <v>195833000</v>
      </c>
      <c r="K26" s="8">
        <f t="shared" ref="K26:K27" si="46">SUM(J26*100/I26/100)</f>
        <v>0.94234839599999998</v>
      </c>
      <c r="L26" s="3">
        <f t="shared" ref="L26:L27" si="47">SUM(A26*I26/10000)</f>
        <v>1039068994.1812136</v>
      </c>
      <c r="M26" s="9">
        <f t="shared" ref="M26:M27" si="48">SUM(H26/10000*A26)</f>
        <v>1398807142.8571427</v>
      </c>
      <c r="N26" s="9">
        <f t="shared" ref="N26:N27" si="49">SUM(J26/10000*A26)</f>
        <v>979165000</v>
      </c>
      <c r="O26" s="33">
        <f t="shared" si="8"/>
        <v>949790050</v>
      </c>
      <c r="P26" s="6">
        <f t="shared" si="9"/>
        <v>930206750</v>
      </c>
      <c r="Q26" s="3">
        <f t="shared" si="10"/>
        <v>37991.601999999999</v>
      </c>
      <c r="R26" s="3">
        <f t="shared" si="11"/>
        <v>37231.769959999998</v>
      </c>
    </row>
    <row r="27" spans="1:18" x14ac:dyDescent="0.3">
      <c r="A27" s="34">
        <f t="shared" si="12"/>
        <v>50000</v>
      </c>
      <c r="B27" s="73" t="s">
        <v>61</v>
      </c>
      <c r="C27" s="30">
        <v>8679999000</v>
      </c>
      <c r="D27" s="75">
        <f t="shared" si="6"/>
        <v>0.125</v>
      </c>
      <c r="E27" s="4">
        <f t="shared" si="13"/>
        <v>4812</v>
      </c>
      <c r="F27" s="5">
        <f t="shared" si="14"/>
        <v>100000000</v>
      </c>
      <c r="G27" s="32">
        <v>400000</v>
      </c>
      <c r="H27" s="6">
        <f t="shared" si="43"/>
        <v>309999964.28571427</v>
      </c>
      <c r="I27" s="61">
        <f t="shared" si="44"/>
        <v>207813798.83624274</v>
      </c>
      <c r="J27" s="3">
        <f t="shared" si="45"/>
        <v>216999975</v>
      </c>
      <c r="K27" s="8">
        <f t="shared" si="46"/>
        <v>1.0442038796999999</v>
      </c>
      <c r="L27" s="3">
        <f t="shared" si="47"/>
        <v>1039068994.1812136</v>
      </c>
      <c r="M27" s="9">
        <f t="shared" si="48"/>
        <v>1549999821.4285712</v>
      </c>
      <c r="N27" s="9">
        <f t="shared" si="49"/>
        <v>1084999875</v>
      </c>
      <c r="O27" s="33">
        <f t="shared" si="8"/>
        <v>1052449878.75</v>
      </c>
      <c r="P27" s="6">
        <f t="shared" si="9"/>
        <v>1030749881.25</v>
      </c>
      <c r="Q27" s="3">
        <f t="shared" si="10"/>
        <v>42097.995150000002</v>
      </c>
      <c r="R27" s="3">
        <f t="shared" si="11"/>
        <v>41256.035247</v>
      </c>
    </row>
    <row r="28" spans="1:18" x14ac:dyDescent="0.3">
      <c r="A28" s="34">
        <f>SUM(A27)</f>
        <v>50000</v>
      </c>
      <c r="B28" s="73" t="s">
        <v>62</v>
      </c>
      <c r="C28" s="30">
        <v>873330000</v>
      </c>
      <c r="D28" s="75">
        <f t="shared" si="6"/>
        <v>2.0576131687242798</v>
      </c>
      <c r="E28" s="4">
        <f t="shared" si="13"/>
        <v>4812</v>
      </c>
      <c r="F28" s="5">
        <f t="shared" si="14"/>
        <v>100000000</v>
      </c>
      <c r="G28" s="32">
        <v>24300</v>
      </c>
      <c r="H28" s="6">
        <f t="shared" ref="H28" si="50">SUM(10000/(G28*0.7)*C28)</f>
        <v>513421516.75485009</v>
      </c>
      <c r="I28" s="61">
        <f t="shared" ref="I28" si="51">SUM(10000/E28*100000000)</f>
        <v>207813798.83624274</v>
      </c>
      <c r="J28" s="3">
        <f t="shared" ref="J28" si="52">SUM(10000/G28*C28)</f>
        <v>359395061.72839504</v>
      </c>
      <c r="K28" s="8">
        <f t="shared" ref="K28" si="53">SUM(J28*100/I28/100)</f>
        <v>1.729409037037037</v>
      </c>
      <c r="L28" s="3">
        <f t="shared" ref="L28" si="54">SUM(A28*I28/10000)</f>
        <v>1039068994.1812136</v>
      </c>
      <c r="M28" s="9">
        <f t="shared" ref="M28" si="55">SUM(H28/10000*A28)</f>
        <v>2567107583.7742505</v>
      </c>
      <c r="N28" s="9">
        <f t="shared" ref="N28" si="56">SUM(J28/10000*A28)</f>
        <v>1796975308.6419752</v>
      </c>
      <c r="O28" s="33">
        <f t="shared" si="8"/>
        <v>1743066049.3827159</v>
      </c>
      <c r="P28" s="6">
        <f t="shared" si="9"/>
        <v>1707126543.2098763</v>
      </c>
      <c r="Q28" s="3">
        <f t="shared" si="10"/>
        <v>69722.641975308637</v>
      </c>
      <c r="R28" s="3">
        <f t="shared" si="11"/>
        <v>68328.189135802459</v>
      </c>
    </row>
    <row r="29" spans="1:18" x14ac:dyDescent="0.3">
      <c r="A29" s="34">
        <f>SUM(A28)</f>
        <v>50000</v>
      </c>
      <c r="B29" s="73" t="s">
        <v>63</v>
      </c>
      <c r="C29" s="30">
        <v>115000000</v>
      </c>
      <c r="D29" s="75">
        <f t="shared" si="6"/>
        <v>10.204081632653061</v>
      </c>
      <c r="E29" s="4">
        <f t="shared" si="13"/>
        <v>4812</v>
      </c>
      <c r="F29" s="5">
        <f t="shared" si="14"/>
        <v>100000000</v>
      </c>
      <c r="G29" s="32">
        <v>4900</v>
      </c>
      <c r="H29" s="6">
        <f t="shared" ref="H29" si="57">SUM(10000/(G29*0.7)*C29)</f>
        <v>335276967.93002915</v>
      </c>
      <c r="I29" s="61">
        <f t="shared" ref="I29" si="58">SUM(10000/E29*100000000)</f>
        <v>207813798.83624274</v>
      </c>
      <c r="J29" s="3">
        <f t="shared" ref="J29" si="59">SUM(10000/G29*C29)</f>
        <v>234693877.55102041</v>
      </c>
      <c r="K29" s="8">
        <f t="shared" ref="K29" si="60">SUM(J29*100/I29/100)</f>
        <v>1.1293469387755102</v>
      </c>
      <c r="L29" s="3">
        <f t="shared" ref="L29" si="61">SUM(A29*I29/10000)</f>
        <v>1039068994.1812136</v>
      </c>
      <c r="M29" s="9">
        <f t="shared" ref="M29" si="62">SUM(H29/10000*A29)</f>
        <v>1676384839.6501458</v>
      </c>
      <c r="N29" s="9">
        <f t="shared" ref="N29" si="63">SUM(J29/10000*A29)</f>
        <v>1173469387.7551022</v>
      </c>
      <c r="O29" s="33">
        <f t="shared" si="8"/>
        <v>1138265306.1224492</v>
      </c>
      <c r="P29" s="6">
        <f t="shared" si="9"/>
        <v>1114795918.367347</v>
      </c>
      <c r="Q29" s="3">
        <f t="shared" si="10"/>
        <v>45530.612244897966</v>
      </c>
      <c r="R29" s="3">
        <f t="shared" si="11"/>
        <v>44620.000000000007</v>
      </c>
    </row>
    <row r="30" spans="1:18" x14ac:dyDescent="0.3">
      <c r="A30" s="34">
        <f>SUM(A29)</f>
        <v>50000</v>
      </c>
      <c r="B30" s="73" t="s">
        <v>67</v>
      </c>
      <c r="C30" s="30">
        <v>77777777</v>
      </c>
      <c r="D30" s="75">
        <f t="shared" si="6"/>
        <v>12.820512820512821</v>
      </c>
      <c r="E30" s="4">
        <f t="shared" si="13"/>
        <v>4812</v>
      </c>
      <c r="F30" s="5">
        <f t="shared" si="14"/>
        <v>100000000</v>
      </c>
      <c r="G30" s="32">
        <v>3900</v>
      </c>
      <c r="H30" s="6">
        <f t="shared" ref="H30" si="64">SUM(10000/(G30*0.7)*C30)</f>
        <v>284900282.05128205</v>
      </c>
      <c r="I30" s="61">
        <f t="shared" ref="I30" si="65">SUM(10000/E30*100000000)</f>
        <v>207813798.83624274</v>
      </c>
      <c r="J30" s="3">
        <f t="shared" ref="J30" si="66">SUM(10000/G30*C30)</f>
        <v>199430197.43589744</v>
      </c>
      <c r="K30" s="8">
        <f t="shared" ref="K30" si="67">SUM(J30*100/I30/100)</f>
        <v>0.95965811006153845</v>
      </c>
      <c r="L30" s="3">
        <f t="shared" ref="L30" si="68">SUM(A30*I30/10000)</f>
        <v>1039068994.1812136</v>
      </c>
      <c r="M30" s="9">
        <f t="shared" ref="M30" si="69">SUM(H30/10000*A30)</f>
        <v>1424501410.2564101</v>
      </c>
      <c r="N30" s="9">
        <f t="shared" ref="N30" si="70">SUM(J30/10000*A30)</f>
        <v>997150987.17948711</v>
      </c>
      <c r="O30" s="33">
        <f t="shared" si="8"/>
        <v>967236457.56410241</v>
      </c>
      <c r="P30" s="6">
        <f t="shared" si="9"/>
        <v>947293437.82051265</v>
      </c>
      <c r="Q30" s="3">
        <f t="shared" si="10"/>
        <v>38689.458302564097</v>
      </c>
      <c r="R30" s="3">
        <f t="shared" si="11"/>
        <v>37915.669136512814</v>
      </c>
    </row>
    <row r="31" spans="1:18" x14ac:dyDescent="0.3">
      <c r="A31" s="34">
        <f>SUM(A30)</f>
        <v>50000</v>
      </c>
      <c r="B31" s="73" t="s">
        <v>66</v>
      </c>
      <c r="C31" s="30">
        <v>144986600</v>
      </c>
      <c r="D31" s="75">
        <f t="shared" si="6"/>
        <v>9.0909090909090917</v>
      </c>
      <c r="E31" s="4">
        <f t="shared" si="13"/>
        <v>4812</v>
      </c>
      <c r="F31" s="5">
        <f t="shared" si="14"/>
        <v>100000000</v>
      </c>
      <c r="G31" s="32">
        <v>5500</v>
      </c>
      <c r="H31" s="6">
        <f t="shared" ref="H31" si="71">SUM(10000/(G31*0.7)*C31)</f>
        <v>376588571.42857146</v>
      </c>
      <c r="I31" s="61">
        <f t="shared" ref="I31" si="72">SUM(10000/E31*100000000)</f>
        <v>207813798.83624274</v>
      </c>
      <c r="J31" s="3">
        <f t="shared" ref="J31" si="73">SUM(10000/G31*C31)</f>
        <v>263612000</v>
      </c>
      <c r="K31" s="8">
        <f t="shared" ref="K31" si="74">SUM(J31*100/I31/100)</f>
        <v>1.2685009439999999</v>
      </c>
      <c r="L31" s="3">
        <f t="shared" ref="L31" si="75">SUM(A31*I31/10000)</f>
        <v>1039068994.1812136</v>
      </c>
      <c r="M31" s="9">
        <f t="shared" ref="M31" si="76">SUM(H31/10000*A31)</f>
        <v>1882942857.1428573</v>
      </c>
      <c r="N31" s="9">
        <f t="shared" ref="N31" si="77">SUM(J31/10000*A31)</f>
        <v>1318060000</v>
      </c>
      <c r="O31" s="33">
        <f t="shared" si="8"/>
        <v>1278518200</v>
      </c>
      <c r="P31" s="6">
        <f t="shared" si="9"/>
        <v>1252157000</v>
      </c>
      <c r="Q31" s="3">
        <f t="shared" si="10"/>
        <v>51140.728000000003</v>
      </c>
      <c r="R31" s="3">
        <f t="shared" si="11"/>
        <v>50117.913440000004</v>
      </c>
    </row>
    <row r="32" spans="1:18" x14ac:dyDescent="0.3">
      <c r="A32" s="34">
        <f>SUM(A31)</f>
        <v>50000</v>
      </c>
      <c r="B32" s="73" t="s">
        <v>102</v>
      </c>
      <c r="C32" s="30">
        <v>300000000</v>
      </c>
      <c r="D32" s="75">
        <f t="shared" si="6"/>
        <v>3.3333333333333335</v>
      </c>
      <c r="E32" s="4">
        <f t="shared" si="13"/>
        <v>4812</v>
      </c>
      <c r="F32" s="5">
        <f t="shared" si="14"/>
        <v>100000000</v>
      </c>
      <c r="G32" s="32">
        <v>15000</v>
      </c>
      <c r="H32" s="6">
        <f t="shared" ref="H32" si="78">SUM(10000/(G32*0.7)*C32)</f>
        <v>285714285.71428567</v>
      </c>
      <c r="I32" s="61">
        <f t="shared" ref="I32" si="79">SUM(10000/E32*100000000)</f>
        <v>207813798.83624274</v>
      </c>
      <c r="J32" s="3">
        <f t="shared" ref="J32" si="80">SUM(10000/G32*C32)</f>
        <v>200000000</v>
      </c>
      <c r="K32" s="8">
        <f t="shared" ref="K32" si="81">SUM(J32*100/I32/100)</f>
        <v>0.96239999999999992</v>
      </c>
      <c r="L32" s="3">
        <f t="shared" ref="L32" si="82">SUM(A32*I32/10000)</f>
        <v>1039068994.1812136</v>
      </c>
      <c r="M32" s="9">
        <f t="shared" ref="M32" si="83">SUM(H32/10000*A32)</f>
        <v>1428571428.5714285</v>
      </c>
      <c r="N32" s="9">
        <f t="shared" ref="N32" si="84">SUM(J32/10000*A32)</f>
        <v>1000000000</v>
      </c>
      <c r="O32" s="33">
        <f t="shared" ref="O32" si="85">SUM(N32*0.97)</f>
        <v>970000000</v>
      </c>
      <c r="P32" s="6">
        <f t="shared" ref="P32" si="86">SUM(N32*0.95)</f>
        <v>950000000</v>
      </c>
      <c r="Q32" s="3">
        <f t="shared" ref="Q32" si="87">SUM(O32/100000000)*4000</f>
        <v>38800</v>
      </c>
      <c r="R32" s="3">
        <f t="shared" ref="R32" si="88">SUM(Q32*0.98)</f>
        <v>38024</v>
      </c>
    </row>
    <row r="33" spans="1:18" x14ac:dyDescent="0.3">
      <c r="C33" s="30"/>
      <c r="D33" s="30"/>
      <c r="H33" s="6"/>
      <c r="J33" s="3"/>
      <c r="K33" s="8"/>
      <c r="L33" s="3"/>
      <c r="M33" s="9"/>
      <c r="O33" s="33"/>
      <c r="P33" s="6"/>
      <c r="Q33" s="3"/>
    </row>
    <row r="34" spans="1:18" x14ac:dyDescent="0.3">
      <c r="C34" s="30"/>
      <c r="D34" s="30"/>
      <c r="H34" s="6"/>
      <c r="J34" s="3"/>
      <c r="K34" s="8"/>
      <c r="L34" s="3"/>
      <c r="M34" s="9"/>
      <c r="O34" s="33"/>
      <c r="P34" s="6"/>
      <c r="Q34" s="3"/>
    </row>
    <row r="35" spans="1:18" x14ac:dyDescent="0.3">
      <c r="C35" s="30"/>
      <c r="D35" s="30"/>
      <c r="H35" s="6"/>
      <c r="J35" s="3"/>
      <c r="K35" s="8"/>
      <c r="L35" s="3"/>
      <c r="M35" s="9"/>
      <c r="O35" s="33"/>
      <c r="P35" s="6"/>
      <c r="Q35" s="3"/>
    </row>
    <row r="36" spans="1:18" x14ac:dyDescent="0.3">
      <c r="C36" s="30"/>
      <c r="D36" s="30"/>
      <c r="H36" s="6"/>
      <c r="J36" s="3"/>
      <c r="K36" s="8"/>
      <c r="L36" s="3"/>
      <c r="M36" s="9"/>
      <c r="O36" s="33"/>
      <c r="P36" s="6"/>
      <c r="Q36" s="3"/>
    </row>
    <row r="37" spans="1:18" x14ac:dyDescent="0.3">
      <c r="B37" s="11" t="s">
        <v>47</v>
      </c>
      <c r="E37" s="4">
        <f>SUM(E28)</f>
        <v>4812</v>
      </c>
      <c r="G37" s="35" t="s">
        <v>54</v>
      </c>
      <c r="H37" s="6"/>
      <c r="J37" s="3"/>
      <c r="K37" s="25" t="s">
        <v>8</v>
      </c>
      <c r="L37" s="3"/>
      <c r="M37" s="9"/>
      <c r="N37" s="27" t="s">
        <v>11</v>
      </c>
      <c r="O37" s="64" t="s">
        <v>77</v>
      </c>
      <c r="P37" s="64" t="s">
        <v>100</v>
      </c>
      <c r="Q37" s="3"/>
    </row>
    <row r="38" spans="1:18" x14ac:dyDescent="0.3">
      <c r="A38" s="13">
        <f>SUM(A21)</f>
        <v>50000</v>
      </c>
      <c r="B38" s="11" t="s">
        <v>48</v>
      </c>
      <c r="C38" s="3">
        <v>100000000</v>
      </c>
      <c r="E38" s="4">
        <f>SUM(E21)</f>
        <v>4812</v>
      </c>
      <c r="F38" s="5">
        <f>SUM(F21)</f>
        <v>100000000</v>
      </c>
      <c r="G38" s="32">
        <v>4190</v>
      </c>
      <c r="H38" s="6">
        <f t="shared" si="0"/>
        <v>340947834.98124784</v>
      </c>
      <c r="I38" s="6">
        <f t="shared" si="1"/>
        <v>207813798.83624274</v>
      </c>
      <c r="J38" s="3">
        <f t="shared" si="2"/>
        <v>238663484.48687348</v>
      </c>
      <c r="K38" s="8">
        <f t="shared" si="7"/>
        <v>1.1484486873508351</v>
      </c>
      <c r="L38" s="3">
        <f t="shared" si="3"/>
        <v>1039068994.1812136</v>
      </c>
      <c r="M38" s="9">
        <f t="shared" si="4"/>
        <v>1704739174.9062393</v>
      </c>
      <c r="N38" s="9">
        <f t="shared" si="5"/>
        <v>1193317422.4343674</v>
      </c>
      <c r="O38" s="33">
        <f>SUM(N38*0.95)</f>
        <v>1133651551.312649</v>
      </c>
      <c r="P38" s="6">
        <f>SUM(N38*0.97)</f>
        <v>1157517899.7613363</v>
      </c>
      <c r="Q38" s="3"/>
    </row>
    <row r="39" spans="1:18" x14ac:dyDescent="0.3">
      <c r="A39" s="13">
        <f t="shared" si="12"/>
        <v>50000</v>
      </c>
      <c r="B39" s="11" t="s">
        <v>49</v>
      </c>
      <c r="C39" s="3">
        <v>100000000</v>
      </c>
      <c r="E39" s="4">
        <f>SUM(E38)</f>
        <v>4812</v>
      </c>
      <c r="F39" s="5">
        <f t="shared" si="14"/>
        <v>100000000</v>
      </c>
      <c r="G39" s="32">
        <v>4000</v>
      </c>
      <c r="H39" s="6">
        <f t="shared" si="0"/>
        <v>357142857.14285713</v>
      </c>
      <c r="I39" s="6">
        <f t="shared" si="1"/>
        <v>207813798.83624274</v>
      </c>
      <c r="J39" s="3">
        <f t="shared" si="2"/>
        <v>250000000</v>
      </c>
      <c r="K39" s="8">
        <f t="shared" si="7"/>
        <v>1.2030000000000001</v>
      </c>
      <c r="L39" s="3">
        <f t="shared" si="3"/>
        <v>1039068994.1812136</v>
      </c>
      <c r="M39" s="9">
        <f t="shared" si="4"/>
        <v>1785714285.7142856</v>
      </c>
      <c r="N39" s="9">
        <f t="shared" si="5"/>
        <v>1250000000</v>
      </c>
      <c r="O39" s="33">
        <f>SUM(N39*0.95)</f>
        <v>1187500000</v>
      </c>
      <c r="P39" s="6">
        <f>SUM(N39*0.97)</f>
        <v>1212500000</v>
      </c>
    </row>
    <row r="40" spans="1:18" x14ac:dyDescent="0.3">
      <c r="E40" s="13"/>
      <c r="H40" s="6"/>
      <c r="J40" s="3"/>
      <c r="K40" s="8"/>
      <c r="L40" s="3"/>
      <c r="M40" s="9"/>
    </row>
    <row r="41" spans="1:18" x14ac:dyDescent="0.3">
      <c r="C41" s="11"/>
      <c r="D41" s="11"/>
      <c r="H41" s="6"/>
      <c r="J41" s="3"/>
      <c r="K41" s="8"/>
      <c r="L41" s="3"/>
      <c r="M41" s="9"/>
    </row>
    <row r="42" spans="1:18" x14ac:dyDescent="0.3">
      <c r="B42" s="36" t="s">
        <v>22</v>
      </c>
      <c r="C42" s="37"/>
      <c r="D42" s="37"/>
      <c r="G42" s="6"/>
      <c r="H42" s="6"/>
      <c r="J42" s="3"/>
      <c r="K42" s="8"/>
      <c r="L42" s="3"/>
      <c r="M42" s="9"/>
    </row>
    <row r="43" spans="1:18" x14ac:dyDescent="0.3">
      <c r="B43" s="38" t="s">
        <v>23</v>
      </c>
      <c r="G43" s="6"/>
      <c r="M43" s="39" t="s">
        <v>37</v>
      </c>
    </row>
    <row r="44" spans="1:18" x14ac:dyDescent="0.3">
      <c r="A44" s="16" t="s">
        <v>53</v>
      </c>
      <c r="B44" s="16" t="s">
        <v>53</v>
      </c>
      <c r="C44" s="16" t="s">
        <v>53</v>
      </c>
      <c r="D44" s="16" t="s">
        <v>53</v>
      </c>
      <c r="E44" s="16" t="s">
        <v>53</v>
      </c>
      <c r="F44" s="16" t="s">
        <v>53</v>
      </c>
      <c r="G44" s="16" t="s">
        <v>53</v>
      </c>
      <c r="H44" s="16" t="s">
        <v>53</v>
      </c>
      <c r="I44" s="16" t="s">
        <v>53</v>
      </c>
      <c r="J44" s="3"/>
      <c r="K44" s="8"/>
      <c r="L44" s="40" t="s">
        <v>36</v>
      </c>
      <c r="M44" s="9"/>
      <c r="N44" s="10"/>
      <c r="O44" s="3"/>
      <c r="P44" s="6"/>
      <c r="Q44" s="3"/>
      <c r="R44" s="11"/>
    </row>
    <row r="45" spans="1:18" x14ac:dyDescent="0.3">
      <c r="A45" s="41" t="s">
        <v>24</v>
      </c>
      <c r="B45" s="42" t="s">
        <v>32</v>
      </c>
      <c r="C45" s="42" t="s">
        <v>39</v>
      </c>
      <c r="D45" s="42" t="s">
        <v>38</v>
      </c>
      <c r="E45" s="43" t="s">
        <v>34</v>
      </c>
      <c r="F45" s="44" t="s">
        <v>25</v>
      </c>
      <c r="G45" s="45" t="s">
        <v>33</v>
      </c>
      <c r="H45" s="35" t="s">
        <v>35</v>
      </c>
      <c r="I45" s="35" t="s">
        <v>72</v>
      </c>
      <c r="L45" s="40" t="s">
        <v>41</v>
      </c>
      <c r="M45" s="9"/>
      <c r="N45" s="10"/>
      <c r="O45" s="9"/>
      <c r="R45" s="11"/>
    </row>
    <row r="46" spans="1:18" x14ac:dyDescent="0.3">
      <c r="A46" s="13" t="s">
        <v>26</v>
      </c>
      <c r="B46" s="4">
        <f>SUM(G8-(G8*0.7))</f>
        <v>360</v>
      </c>
      <c r="C46" s="4">
        <f>SUM(G8*0.7)</f>
        <v>840</v>
      </c>
      <c r="D46" s="4">
        <f>SUM(B46/(G8*0.05))</f>
        <v>6</v>
      </c>
      <c r="E46" s="5">
        <f>SUM(G8*6+C46)</f>
        <v>8040</v>
      </c>
      <c r="F46" s="6">
        <f>SUM(C8*7*10000/E46)</f>
        <v>207987830.84577113</v>
      </c>
      <c r="G46" s="46">
        <f>SUM(F46*100/I7/100)</f>
        <v>1.0008374420298507</v>
      </c>
      <c r="H46" s="40">
        <f>SUM(F46/10000*A7)</f>
        <v>1039939154.2288556</v>
      </c>
      <c r="I46" s="47">
        <f>SUM(H46*0.97)</f>
        <v>1008740979.6019899</v>
      </c>
      <c r="J46" s="3"/>
      <c r="K46" s="8"/>
      <c r="L46" s="40" t="s">
        <v>40</v>
      </c>
      <c r="M46" s="9"/>
      <c r="N46" s="10"/>
      <c r="O46" s="3"/>
      <c r="P46" s="6"/>
      <c r="Q46" s="3"/>
      <c r="R46" s="11"/>
    </row>
    <row r="47" spans="1:18" x14ac:dyDescent="0.3">
      <c r="A47" s="13" t="s">
        <v>27</v>
      </c>
      <c r="B47" s="4">
        <f>SUM(G7-(G7*0.7))</f>
        <v>660</v>
      </c>
      <c r="C47" s="4">
        <f>SUM(G7*0.7)</f>
        <v>1540</v>
      </c>
      <c r="D47" s="4">
        <f>SUM(B47/(G7*0.05))</f>
        <v>6</v>
      </c>
      <c r="E47" s="5">
        <f>SUM(G7*6+C47)</f>
        <v>14740</v>
      </c>
      <c r="F47" s="6">
        <f>SUM(C7*7*10000/E47)</f>
        <v>197082767.97829038</v>
      </c>
      <c r="G47" s="46">
        <f>SUM(F47*100/I8/100)</f>
        <v>0.94836227951153318</v>
      </c>
      <c r="H47" s="40">
        <f>SUM(F47/10000*A8)</f>
        <v>985413839.89145195</v>
      </c>
      <c r="I47" s="47">
        <f t="shared" ref="I47:I50" si="89">SUM(H47*0.97)</f>
        <v>955851424.69470835</v>
      </c>
      <c r="J47" s="3"/>
      <c r="K47" s="8"/>
      <c r="L47" s="9"/>
      <c r="M47" s="9"/>
      <c r="N47" s="10"/>
      <c r="O47" s="3"/>
      <c r="P47" s="6"/>
      <c r="Q47" s="3"/>
      <c r="R47" s="11"/>
    </row>
    <row r="48" spans="1:18" x14ac:dyDescent="0.3">
      <c r="A48" s="13" t="s">
        <v>31</v>
      </c>
      <c r="B48" s="4">
        <f>SUM(G19-(G19*0.7))</f>
        <v>1770</v>
      </c>
      <c r="C48" s="4">
        <f>SUM(G19*0.7)</f>
        <v>4130</v>
      </c>
      <c r="D48" s="4">
        <f>SUM(B48/(G19*0.05))</f>
        <v>6</v>
      </c>
      <c r="E48" s="5">
        <f>SUM(G19*6+C48)</f>
        <v>39530</v>
      </c>
      <c r="F48" s="6">
        <f>SUM(C19*7*10000/E48)</f>
        <v>177080696.43308878</v>
      </c>
      <c r="G48" s="46">
        <f>SUM(F48*100/I9/100)</f>
        <v>0.85211231123602305</v>
      </c>
      <c r="H48" s="40">
        <f>SUM(F48/10000*A9)</f>
        <v>885403482.1654439</v>
      </c>
      <c r="I48" s="47">
        <f t="shared" si="89"/>
        <v>858841377.70048058</v>
      </c>
      <c r="N48" s="10"/>
      <c r="O48" s="9"/>
      <c r="R48" s="11"/>
    </row>
    <row r="49" spans="1:18" x14ac:dyDescent="0.3">
      <c r="A49" s="13" t="s">
        <v>46</v>
      </c>
      <c r="B49" s="4">
        <f>SUM(G20-(G20*0.7))</f>
        <v>570</v>
      </c>
      <c r="C49" s="4">
        <f>SUM(G20*0.7)</f>
        <v>1330</v>
      </c>
      <c r="D49" s="4">
        <f>SUM(B49/(G20*0.05))</f>
        <v>6</v>
      </c>
      <c r="E49" s="5">
        <f>SUM(G20*6+C49)</f>
        <v>12730</v>
      </c>
      <c r="F49" s="6">
        <f>SUM(C20*7*10000/E49)</f>
        <v>232172469.75648075</v>
      </c>
      <c r="G49" s="46">
        <f>SUM(F49*100/I10/100)</f>
        <v>1.1172139244681853</v>
      </c>
      <c r="H49" s="40">
        <f>SUM(F49/10000*A10)</f>
        <v>1160862348.7824037</v>
      </c>
      <c r="I49" s="47">
        <f t="shared" si="89"/>
        <v>1126036478.3189316</v>
      </c>
      <c r="J49" s="3"/>
      <c r="K49" s="8"/>
      <c r="M49" s="9"/>
      <c r="N49" s="10"/>
      <c r="O49" s="3"/>
      <c r="P49" s="6"/>
      <c r="Q49" s="3"/>
      <c r="R49" s="11"/>
    </row>
    <row r="50" spans="1:18" x14ac:dyDescent="0.3">
      <c r="A50" s="13" t="s">
        <v>56</v>
      </c>
      <c r="B50" s="4">
        <f>SUM(G22-(G22*0.7))</f>
        <v>720</v>
      </c>
      <c r="C50" s="4">
        <f>SUM(G22*0.7)</f>
        <v>1680</v>
      </c>
      <c r="D50" s="4">
        <f>SUM(B50/(G22*0.05))</f>
        <v>6</v>
      </c>
      <c r="E50" s="5">
        <f>SUM(G22*6+C50)</f>
        <v>16080</v>
      </c>
      <c r="F50" s="6">
        <f>SUM(C22*7*10000/E50)</f>
        <v>211131836.44278607</v>
      </c>
      <c r="G50" s="46">
        <f>SUM(F50*100/I11/100)</f>
        <v>1.0159663969626864</v>
      </c>
      <c r="H50" s="40">
        <f>SUM(F50/10000*A11)</f>
        <v>1055659182.2139304</v>
      </c>
      <c r="I50" s="47">
        <f t="shared" si="89"/>
        <v>1023989406.7475125</v>
      </c>
      <c r="J50" s="3"/>
      <c r="K50" s="8"/>
      <c r="M50" s="9"/>
      <c r="N50" s="10"/>
      <c r="O50" s="3"/>
      <c r="P50" s="6"/>
      <c r="Q50" s="3"/>
      <c r="R50" s="11"/>
    </row>
    <row r="51" spans="1:18" x14ac:dyDescent="0.3">
      <c r="D51" s="4"/>
      <c r="E51" s="5"/>
      <c r="F51" s="6"/>
      <c r="G51" s="7"/>
      <c r="H51" s="6"/>
      <c r="J51" s="3"/>
      <c r="K51" s="8"/>
      <c r="M51" s="9"/>
      <c r="N51" s="10"/>
      <c r="O51" s="3"/>
      <c r="P51" s="6"/>
      <c r="Q51" s="3"/>
      <c r="R51" s="11"/>
    </row>
    <row r="52" spans="1:18" x14ac:dyDescent="0.3">
      <c r="A52" s="14" t="s">
        <v>65</v>
      </c>
      <c r="D52" s="4"/>
      <c r="E52" s="5"/>
      <c r="F52" s="6"/>
      <c r="G52" s="7"/>
      <c r="H52" s="6"/>
      <c r="J52" s="3"/>
      <c r="K52" s="8"/>
      <c r="M52" s="9"/>
      <c r="N52" s="10"/>
      <c r="O52" s="3"/>
      <c r="P52" s="6"/>
      <c r="Q52" s="3"/>
      <c r="R52" s="11"/>
    </row>
    <row r="53" spans="1:18" x14ac:dyDescent="0.3">
      <c r="G53" s="6"/>
    </row>
    <row r="54" spans="1:18" x14ac:dyDescent="0.3">
      <c r="G54" s="6"/>
    </row>
    <row r="55" spans="1:18" x14ac:dyDescent="0.3">
      <c r="B55" s="48" t="s">
        <v>43</v>
      </c>
      <c r="E55" s="48" t="s">
        <v>43</v>
      </c>
      <c r="F55" s="48" t="s">
        <v>43</v>
      </c>
      <c r="G55" s="6"/>
      <c r="H55" s="48" t="s">
        <v>43</v>
      </c>
      <c r="J55" s="48" t="s">
        <v>43</v>
      </c>
    </row>
    <row r="56" spans="1:18" x14ac:dyDescent="0.3">
      <c r="B56" s="48" t="s">
        <v>44</v>
      </c>
      <c r="E56" s="48" t="s">
        <v>44</v>
      </c>
      <c r="F56" s="48" t="s">
        <v>44</v>
      </c>
      <c r="G56" s="6"/>
      <c r="H56" s="48" t="s">
        <v>44</v>
      </c>
      <c r="J56" s="48" t="s">
        <v>44</v>
      </c>
    </row>
    <row r="57" spans="1:18" x14ac:dyDescent="0.3">
      <c r="G57" s="6"/>
    </row>
    <row r="58" spans="1:18" x14ac:dyDescent="0.3">
      <c r="G58" s="6"/>
    </row>
    <row r="59" spans="1:18" x14ac:dyDescent="0.3">
      <c r="G59" s="6"/>
    </row>
    <row r="60" spans="1:18" x14ac:dyDescent="0.3">
      <c r="G60" s="6"/>
    </row>
    <row r="61" spans="1:18" x14ac:dyDescent="0.3">
      <c r="G61" s="6"/>
    </row>
    <row r="62" spans="1:18" x14ac:dyDescent="0.3">
      <c r="G62" s="6"/>
    </row>
    <row r="63" spans="1:18" x14ac:dyDescent="0.3">
      <c r="G63" s="6"/>
    </row>
    <row r="64" spans="1:18" x14ac:dyDescent="0.3">
      <c r="G64" s="6"/>
    </row>
    <row r="65" spans="7:7" x14ac:dyDescent="0.3">
      <c r="G65" s="6"/>
    </row>
    <row r="66" spans="7:7" x14ac:dyDescent="0.3">
      <c r="G66" s="6"/>
    </row>
    <row r="67" spans="7:7" x14ac:dyDescent="0.3">
      <c r="G67" s="6"/>
    </row>
    <row r="68" spans="7:7" x14ac:dyDescent="0.3">
      <c r="G68" s="6"/>
    </row>
    <row r="69" spans="7:7" x14ac:dyDescent="0.3">
      <c r="G69" s="6"/>
    </row>
    <row r="70" spans="7:7" x14ac:dyDescent="0.3">
      <c r="G70" s="6"/>
    </row>
    <row r="71" spans="7:7" x14ac:dyDescent="0.3">
      <c r="G71" s="6"/>
    </row>
    <row r="72" spans="7:7" x14ac:dyDescent="0.3">
      <c r="G72" s="6"/>
    </row>
  </sheetData>
  <sheetProtection algorithmName="SHA-512" hashValue="bUJ4e/Q5Vh2dJN0jd9ILKMs2h2HSZBR+BVHkLxMMwaK4I3QGqxZ0QGFpsG10vWYqY8vbB24WjoK85YK6ns4pvA==" saltValue="Lp46RHaR8ZKrQ7P2AXr4KQ==" spinCount="100000" sheet="1" objects="1" scenarios="1"/>
  <phoneticPr fontId="8" type="noConversion"/>
  <hyperlinks>
    <hyperlink ref="B43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1"/>
  <sheetViews>
    <sheetView zoomScale="118" zoomScaleNormal="118" workbookViewId="0">
      <selection activeCell="D9" sqref="D9"/>
    </sheetView>
  </sheetViews>
  <sheetFormatPr defaultRowHeight="16.5" x14ac:dyDescent="0.3"/>
  <cols>
    <col min="1" max="1" width="21.375" style="11" customWidth="1"/>
    <col min="2" max="2" width="9" style="11" customWidth="1"/>
    <col min="3" max="3" width="9" style="11"/>
    <col min="4" max="4" width="9.625" style="11" customWidth="1"/>
    <col min="5" max="16384" width="9" style="11"/>
  </cols>
  <sheetData>
    <row r="1" spans="1:151" s="62" customFormat="1" x14ac:dyDescent="0.3">
      <c r="B1" s="62">
        <v>140</v>
      </c>
      <c r="C1" s="62">
        <v>141</v>
      </c>
      <c r="D1" s="62">
        <v>142</v>
      </c>
      <c r="E1" s="62">
        <v>143</v>
      </c>
      <c r="F1" s="62">
        <v>144</v>
      </c>
      <c r="G1" s="62">
        <v>145</v>
      </c>
      <c r="H1" s="62">
        <v>146</v>
      </c>
      <c r="I1" s="62">
        <v>147</v>
      </c>
      <c r="J1" s="62">
        <v>148</v>
      </c>
      <c r="K1" s="62">
        <v>149</v>
      </c>
      <c r="L1" s="62">
        <v>150</v>
      </c>
      <c r="M1" s="62">
        <v>151</v>
      </c>
      <c r="N1" s="62">
        <v>152</v>
      </c>
      <c r="O1" s="62">
        <v>153</v>
      </c>
      <c r="P1" s="62">
        <v>154</v>
      </c>
      <c r="Q1" s="62">
        <v>155</v>
      </c>
      <c r="R1" s="62">
        <v>156</v>
      </c>
      <c r="S1" s="62">
        <v>157</v>
      </c>
      <c r="T1" s="62">
        <v>158</v>
      </c>
      <c r="U1" s="62">
        <v>159</v>
      </c>
      <c r="V1" s="62">
        <v>160</v>
      </c>
      <c r="W1" s="62">
        <v>161</v>
      </c>
      <c r="X1" s="62">
        <v>162</v>
      </c>
      <c r="Y1" s="62">
        <v>163</v>
      </c>
      <c r="Z1" s="62">
        <v>164</v>
      </c>
      <c r="AA1" s="62">
        <v>165</v>
      </c>
      <c r="AB1" s="62">
        <v>166</v>
      </c>
      <c r="AC1" s="62">
        <v>167</v>
      </c>
      <c r="AD1" s="62">
        <v>168</v>
      </c>
      <c r="AE1" s="62">
        <v>169</v>
      </c>
      <c r="AF1" s="62">
        <v>170</v>
      </c>
      <c r="AG1" s="62">
        <v>171</v>
      </c>
      <c r="AH1" s="62">
        <v>172</v>
      </c>
      <c r="AI1" s="62">
        <v>173</v>
      </c>
      <c r="AJ1" s="62">
        <v>174</v>
      </c>
      <c r="AK1" s="62">
        <v>175</v>
      </c>
      <c r="AL1" s="62">
        <v>176</v>
      </c>
      <c r="AM1" s="62">
        <v>177</v>
      </c>
      <c r="AN1" s="62">
        <v>178</v>
      </c>
      <c r="AO1" s="62">
        <v>179</v>
      </c>
      <c r="AP1" s="62">
        <v>180</v>
      </c>
      <c r="AQ1" s="62">
        <v>181</v>
      </c>
      <c r="AR1" s="62">
        <v>182</v>
      </c>
      <c r="AS1" s="62">
        <v>183</v>
      </c>
      <c r="AT1" s="62">
        <v>184</v>
      </c>
      <c r="AU1" s="62">
        <v>185</v>
      </c>
      <c r="AV1" s="62">
        <v>186</v>
      </c>
      <c r="AW1" s="62">
        <v>187</v>
      </c>
      <c r="AX1" s="62">
        <v>188</v>
      </c>
      <c r="AY1" s="62">
        <v>189</v>
      </c>
      <c r="AZ1" s="62">
        <v>190</v>
      </c>
      <c r="BA1" s="62">
        <v>191</v>
      </c>
      <c r="BB1" s="62">
        <v>192</v>
      </c>
      <c r="BC1" s="62">
        <v>193</v>
      </c>
      <c r="BD1" s="62">
        <v>194</v>
      </c>
      <c r="BE1" s="62">
        <v>195</v>
      </c>
      <c r="BF1" s="62">
        <v>196</v>
      </c>
      <c r="BG1" s="62">
        <v>197</v>
      </c>
      <c r="BH1" s="62">
        <v>198</v>
      </c>
      <c r="BI1" s="62">
        <v>199</v>
      </c>
      <c r="BJ1" s="62">
        <v>200</v>
      </c>
      <c r="BK1" s="62">
        <v>201</v>
      </c>
      <c r="BL1" s="62">
        <v>202</v>
      </c>
      <c r="BM1" s="62">
        <v>203</v>
      </c>
      <c r="BN1" s="62">
        <v>204</v>
      </c>
      <c r="BO1" s="62">
        <v>205</v>
      </c>
      <c r="BP1" s="62">
        <v>206</v>
      </c>
      <c r="BQ1" s="62">
        <v>207</v>
      </c>
      <c r="BR1" s="62">
        <v>208</v>
      </c>
      <c r="BS1" s="62">
        <v>209</v>
      </c>
      <c r="BT1" s="62">
        <v>210</v>
      </c>
      <c r="BU1" s="62">
        <v>211</v>
      </c>
      <c r="BV1" s="62">
        <v>212</v>
      </c>
      <c r="BW1" s="62">
        <v>213</v>
      </c>
      <c r="BX1" s="62">
        <v>214</v>
      </c>
      <c r="BY1" s="62">
        <v>215</v>
      </c>
      <c r="BZ1" s="62">
        <v>216</v>
      </c>
      <c r="CA1" s="62">
        <v>217</v>
      </c>
      <c r="CB1" s="62">
        <v>218</v>
      </c>
      <c r="CC1" s="62">
        <v>219</v>
      </c>
      <c r="CD1" s="62">
        <v>220</v>
      </c>
      <c r="CE1" s="62">
        <v>221</v>
      </c>
      <c r="CF1" s="62">
        <v>222</v>
      </c>
      <c r="CG1" s="62">
        <v>223</v>
      </c>
      <c r="CH1" s="62">
        <v>224</v>
      </c>
      <c r="CI1" s="62">
        <v>225</v>
      </c>
      <c r="CJ1" s="62">
        <v>226</v>
      </c>
      <c r="CK1" s="62">
        <v>227</v>
      </c>
      <c r="CL1" s="62">
        <v>228</v>
      </c>
      <c r="CM1" s="62">
        <v>229</v>
      </c>
      <c r="CN1" s="62">
        <v>230</v>
      </c>
      <c r="CO1" s="62">
        <v>231</v>
      </c>
      <c r="CP1" s="62">
        <v>232</v>
      </c>
      <c r="CQ1" s="62">
        <v>233</v>
      </c>
      <c r="CR1" s="62">
        <v>234</v>
      </c>
      <c r="CS1" s="62">
        <v>235</v>
      </c>
      <c r="CT1" s="62">
        <v>236</v>
      </c>
      <c r="CU1" s="62">
        <v>237</v>
      </c>
      <c r="CV1" s="62">
        <v>238</v>
      </c>
      <c r="CW1" s="62">
        <v>239</v>
      </c>
      <c r="CX1" s="62">
        <v>240</v>
      </c>
      <c r="CY1" s="62">
        <v>241</v>
      </c>
      <c r="CZ1" s="62">
        <v>242</v>
      </c>
      <c r="DA1" s="62">
        <v>243</v>
      </c>
      <c r="DB1" s="62">
        <v>244</v>
      </c>
      <c r="DC1" s="62">
        <v>245</v>
      </c>
      <c r="DD1" s="62">
        <v>246</v>
      </c>
      <c r="DE1" s="62">
        <v>247</v>
      </c>
      <c r="DF1" s="62">
        <v>248</v>
      </c>
      <c r="DG1" s="62">
        <v>249</v>
      </c>
      <c r="DH1" s="62">
        <v>250</v>
      </c>
      <c r="DI1" s="62">
        <v>251</v>
      </c>
      <c r="DJ1" s="62">
        <v>252</v>
      </c>
      <c r="DK1" s="62">
        <v>253</v>
      </c>
      <c r="DL1" s="62">
        <v>254</v>
      </c>
      <c r="DM1" s="62">
        <v>255</v>
      </c>
      <c r="DN1" s="62">
        <v>256</v>
      </c>
      <c r="DO1" s="62">
        <v>257</v>
      </c>
      <c r="DP1" s="62">
        <v>258</v>
      </c>
      <c r="DQ1" s="62">
        <v>259</v>
      </c>
      <c r="DR1" s="62">
        <v>260</v>
      </c>
      <c r="DS1" s="62">
        <v>261</v>
      </c>
      <c r="DT1" s="62">
        <v>262</v>
      </c>
      <c r="DU1" s="62">
        <v>263</v>
      </c>
      <c r="DV1" s="62">
        <v>264</v>
      </c>
      <c r="DW1" s="62">
        <v>265</v>
      </c>
      <c r="DX1" s="62">
        <v>266</v>
      </c>
      <c r="DY1" s="62">
        <v>267</v>
      </c>
      <c r="DZ1" s="62">
        <v>268</v>
      </c>
      <c r="EA1" s="62">
        <v>269</v>
      </c>
      <c r="EB1" s="62">
        <v>270</v>
      </c>
      <c r="EC1" s="62">
        <v>271</v>
      </c>
      <c r="ED1" s="62">
        <v>272</v>
      </c>
      <c r="EE1" s="62">
        <v>273</v>
      </c>
      <c r="EF1" s="62">
        <v>274</v>
      </c>
      <c r="EG1" s="62">
        <v>275</v>
      </c>
      <c r="EH1" s="62">
        <v>276</v>
      </c>
      <c r="EI1" s="62">
        <v>277</v>
      </c>
      <c r="EJ1" s="62">
        <v>278</v>
      </c>
      <c r="EK1" s="62">
        <v>279</v>
      </c>
      <c r="EL1" s="62">
        <v>280</v>
      </c>
      <c r="EM1" s="62">
        <v>281</v>
      </c>
      <c r="EN1" s="62">
        <v>282</v>
      </c>
      <c r="EO1" s="62">
        <v>283</v>
      </c>
      <c r="EP1" s="62">
        <v>284</v>
      </c>
      <c r="EQ1" s="62">
        <v>285</v>
      </c>
      <c r="ER1" s="62">
        <v>286</v>
      </c>
      <c r="ES1" s="62">
        <v>287</v>
      </c>
      <c r="ET1" s="62">
        <v>288</v>
      </c>
      <c r="EU1" s="62">
        <v>289</v>
      </c>
    </row>
    <row r="2" spans="1:151" s="62" customFormat="1" x14ac:dyDescent="0.3">
      <c r="B2" s="62">
        <v>3</v>
      </c>
      <c r="C2" s="62">
        <v>6</v>
      </c>
      <c r="D2" s="62">
        <v>9</v>
      </c>
      <c r="E2" s="62">
        <v>12</v>
      </c>
      <c r="F2" s="62">
        <v>15</v>
      </c>
      <c r="G2" s="62">
        <v>18</v>
      </c>
      <c r="H2" s="62">
        <v>21</v>
      </c>
      <c r="I2" s="62">
        <v>24</v>
      </c>
      <c r="J2" s="62">
        <v>27</v>
      </c>
      <c r="K2" s="62">
        <v>30</v>
      </c>
      <c r="L2" s="62">
        <v>34</v>
      </c>
      <c r="M2" s="62">
        <v>38</v>
      </c>
      <c r="N2" s="62">
        <v>42</v>
      </c>
      <c r="O2" s="62">
        <v>46</v>
      </c>
      <c r="P2" s="62">
        <v>50</v>
      </c>
      <c r="Q2" s="62">
        <v>54</v>
      </c>
      <c r="R2" s="62">
        <v>58</v>
      </c>
      <c r="S2" s="62">
        <v>62</v>
      </c>
      <c r="T2" s="62">
        <v>66</v>
      </c>
      <c r="U2" s="62">
        <v>70</v>
      </c>
      <c r="V2" s="62">
        <v>75</v>
      </c>
      <c r="W2" s="62">
        <v>80</v>
      </c>
      <c r="X2" s="62">
        <v>85</v>
      </c>
      <c r="Y2" s="62">
        <v>90</v>
      </c>
      <c r="Z2" s="62">
        <v>95</v>
      </c>
      <c r="AA2" s="62">
        <v>100</v>
      </c>
      <c r="AB2" s="62">
        <v>105</v>
      </c>
      <c r="AC2" s="62">
        <v>110</v>
      </c>
      <c r="AD2" s="62">
        <v>115</v>
      </c>
      <c r="AE2" s="62">
        <v>120</v>
      </c>
      <c r="AF2" s="62">
        <v>126</v>
      </c>
      <c r="AG2" s="62">
        <v>132</v>
      </c>
      <c r="AH2" s="62">
        <v>138</v>
      </c>
      <c r="AI2" s="62">
        <v>144</v>
      </c>
      <c r="AJ2" s="62">
        <v>150</v>
      </c>
      <c r="AK2" s="62">
        <v>156</v>
      </c>
      <c r="AL2" s="62">
        <v>162</v>
      </c>
      <c r="AM2" s="62">
        <v>168</v>
      </c>
      <c r="AN2" s="62">
        <v>174</v>
      </c>
      <c r="AO2" s="62">
        <v>180</v>
      </c>
      <c r="AP2" s="62">
        <v>187</v>
      </c>
      <c r="AQ2" s="62">
        <v>194</v>
      </c>
      <c r="AR2" s="62">
        <v>201</v>
      </c>
      <c r="AS2" s="62">
        <v>208</v>
      </c>
      <c r="AT2" s="62">
        <v>215</v>
      </c>
      <c r="AU2" s="62">
        <v>222</v>
      </c>
      <c r="AV2" s="62">
        <v>229</v>
      </c>
      <c r="AW2" s="62">
        <v>236</v>
      </c>
      <c r="AX2" s="62">
        <v>243</v>
      </c>
      <c r="AY2" s="62">
        <v>250</v>
      </c>
      <c r="AZ2" s="62">
        <v>258</v>
      </c>
      <c r="BA2" s="62">
        <v>266</v>
      </c>
      <c r="BB2" s="62">
        <v>274</v>
      </c>
      <c r="BC2" s="62">
        <v>282</v>
      </c>
      <c r="BD2" s="62">
        <v>290</v>
      </c>
      <c r="BE2" s="62">
        <v>298</v>
      </c>
      <c r="BF2" s="62">
        <v>306</v>
      </c>
      <c r="BG2" s="62">
        <v>314</v>
      </c>
      <c r="BH2" s="62">
        <v>322</v>
      </c>
      <c r="BI2" s="62">
        <v>330</v>
      </c>
      <c r="BJ2" s="62">
        <v>339</v>
      </c>
      <c r="BK2" s="62">
        <v>348</v>
      </c>
      <c r="BL2" s="62">
        <v>357</v>
      </c>
      <c r="BM2" s="62">
        <v>366</v>
      </c>
      <c r="BN2" s="62">
        <v>375</v>
      </c>
      <c r="BO2" s="62">
        <v>384</v>
      </c>
      <c r="BP2" s="62">
        <v>393</v>
      </c>
      <c r="BQ2" s="62">
        <v>402</v>
      </c>
      <c r="BR2" s="62">
        <v>411</v>
      </c>
      <c r="BS2" s="62">
        <v>420</v>
      </c>
      <c r="BT2" s="62">
        <v>430</v>
      </c>
      <c r="BU2" s="62">
        <v>440</v>
      </c>
      <c r="BV2" s="62">
        <v>450</v>
      </c>
      <c r="BW2" s="62">
        <v>460</v>
      </c>
      <c r="BX2" s="62">
        <v>470</v>
      </c>
      <c r="BY2" s="62">
        <v>480</v>
      </c>
      <c r="BZ2" s="62">
        <v>490</v>
      </c>
      <c r="CA2" s="62">
        <v>500</v>
      </c>
      <c r="CB2" s="62">
        <v>510</v>
      </c>
      <c r="CC2" s="62">
        <v>520</v>
      </c>
      <c r="CD2" s="62">
        <v>531</v>
      </c>
      <c r="CE2" s="62">
        <v>542</v>
      </c>
      <c r="CF2" s="62">
        <v>553</v>
      </c>
      <c r="CG2" s="62">
        <v>564</v>
      </c>
      <c r="CH2" s="62">
        <v>575</v>
      </c>
      <c r="CI2" s="62">
        <v>586</v>
      </c>
      <c r="CJ2" s="62">
        <v>597</v>
      </c>
      <c r="CK2" s="62">
        <v>608</v>
      </c>
      <c r="CL2" s="62">
        <v>619</v>
      </c>
      <c r="CM2" s="62">
        <v>630</v>
      </c>
      <c r="CN2" s="62">
        <v>642</v>
      </c>
      <c r="CO2" s="62">
        <v>654</v>
      </c>
      <c r="CP2" s="62">
        <v>666</v>
      </c>
      <c r="CQ2" s="62">
        <v>678</v>
      </c>
      <c r="CR2" s="62">
        <v>690</v>
      </c>
      <c r="CS2" s="62">
        <v>702</v>
      </c>
      <c r="CT2" s="62">
        <v>714</v>
      </c>
      <c r="CU2" s="62">
        <v>726</v>
      </c>
      <c r="CV2" s="62">
        <v>738</v>
      </c>
      <c r="CW2" s="62">
        <v>750</v>
      </c>
      <c r="CX2" s="62">
        <v>763</v>
      </c>
      <c r="CY2" s="62">
        <v>776</v>
      </c>
      <c r="CZ2" s="62">
        <v>789</v>
      </c>
      <c r="DA2" s="62">
        <v>802</v>
      </c>
      <c r="DB2" s="62">
        <v>815</v>
      </c>
      <c r="DC2" s="62">
        <v>828</v>
      </c>
      <c r="DD2" s="62">
        <v>841</v>
      </c>
      <c r="DE2" s="62">
        <v>854</v>
      </c>
      <c r="DF2" s="62">
        <v>867</v>
      </c>
      <c r="DG2" s="62">
        <v>880</v>
      </c>
      <c r="DH2" s="62">
        <v>894</v>
      </c>
      <c r="DI2" s="62">
        <v>908</v>
      </c>
      <c r="DJ2" s="62">
        <v>922</v>
      </c>
      <c r="DK2" s="62">
        <v>936</v>
      </c>
      <c r="DL2" s="62">
        <v>950</v>
      </c>
      <c r="DM2" s="62">
        <v>964</v>
      </c>
      <c r="DN2" s="62">
        <v>978</v>
      </c>
      <c r="DO2" s="62">
        <v>992</v>
      </c>
      <c r="DP2" s="62">
        <v>1006</v>
      </c>
      <c r="DQ2" s="62">
        <v>1020</v>
      </c>
      <c r="DR2" s="62">
        <v>1035</v>
      </c>
      <c r="DS2" s="62">
        <v>1050</v>
      </c>
      <c r="DT2" s="62">
        <v>1065</v>
      </c>
      <c r="DU2" s="62">
        <v>1080</v>
      </c>
      <c r="DV2" s="62">
        <v>1095</v>
      </c>
      <c r="DW2" s="62">
        <v>1110</v>
      </c>
      <c r="DX2" s="62">
        <v>1125</v>
      </c>
      <c r="DY2" s="62">
        <v>1140</v>
      </c>
      <c r="DZ2" s="62">
        <v>1155</v>
      </c>
      <c r="EA2" s="62">
        <v>1170</v>
      </c>
      <c r="EB2" s="62">
        <v>1186</v>
      </c>
      <c r="EC2" s="62">
        <v>1202</v>
      </c>
      <c r="ED2" s="62">
        <v>1218</v>
      </c>
      <c r="EE2" s="62">
        <v>1234</v>
      </c>
      <c r="EF2" s="62">
        <v>1250</v>
      </c>
      <c r="EG2" s="62">
        <v>1266</v>
      </c>
      <c r="EH2" s="62">
        <v>1282</v>
      </c>
      <c r="EI2" s="62">
        <v>1298</v>
      </c>
      <c r="EJ2" s="62">
        <v>1314</v>
      </c>
      <c r="EK2" s="62">
        <v>1330</v>
      </c>
      <c r="EL2" s="62">
        <v>1347</v>
      </c>
      <c r="EM2" s="62">
        <v>1364</v>
      </c>
      <c r="EN2" s="62">
        <v>1381</v>
      </c>
      <c r="EO2" s="62">
        <v>1398</v>
      </c>
      <c r="EP2" s="62">
        <v>1415</v>
      </c>
      <c r="EQ2" s="62">
        <v>1432</v>
      </c>
      <c r="ER2" s="62">
        <v>1449</v>
      </c>
      <c r="ES2" s="62">
        <v>1466</v>
      </c>
      <c r="ET2" s="62">
        <v>1483</v>
      </c>
      <c r="EU2" s="62">
        <v>1500</v>
      </c>
    </row>
    <row r="3" spans="1:151" s="62" customFormat="1" x14ac:dyDescent="0.3">
      <c r="B3" s="62">
        <v>0</v>
      </c>
      <c r="C3" s="62">
        <v>1</v>
      </c>
      <c r="D3" s="62">
        <v>2</v>
      </c>
      <c r="E3" s="62">
        <v>3</v>
      </c>
      <c r="F3" s="62">
        <v>4</v>
      </c>
      <c r="G3" s="62">
        <v>5</v>
      </c>
      <c r="H3" s="62">
        <v>6</v>
      </c>
      <c r="I3" s="62">
        <v>7</v>
      </c>
      <c r="J3" s="62">
        <v>8</v>
      </c>
      <c r="K3" s="62">
        <v>9</v>
      </c>
      <c r="L3" s="62">
        <v>10</v>
      </c>
      <c r="M3" s="62">
        <v>11</v>
      </c>
      <c r="N3" s="62">
        <v>12</v>
      </c>
      <c r="O3" s="62">
        <v>13</v>
      </c>
      <c r="P3" s="62">
        <v>14</v>
      </c>
      <c r="Q3" s="62">
        <v>15</v>
      </c>
    </row>
    <row r="4" spans="1:151" s="62" customFormat="1" x14ac:dyDescent="0.3">
      <c r="B4" s="62">
        <v>0</v>
      </c>
      <c r="C4" s="63">
        <v>1</v>
      </c>
      <c r="D4" s="63">
        <v>3</v>
      </c>
      <c r="E4" s="62">
        <v>7</v>
      </c>
      <c r="F4" s="62">
        <v>15</v>
      </c>
      <c r="G4" s="62">
        <v>25</v>
      </c>
      <c r="H4" s="62">
        <v>40</v>
      </c>
      <c r="I4" s="62">
        <v>60</v>
      </c>
      <c r="J4" s="62">
        <v>85</v>
      </c>
      <c r="K4" s="62">
        <v>115</v>
      </c>
      <c r="L4" s="62">
        <v>150</v>
      </c>
      <c r="M4" s="62">
        <v>200</v>
      </c>
      <c r="N4" s="62">
        <v>265</v>
      </c>
      <c r="O4" s="62">
        <v>345</v>
      </c>
      <c r="P4" s="62">
        <v>440</v>
      </c>
      <c r="Q4" s="62">
        <v>550</v>
      </c>
    </row>
    <row r="5" spans="1:151" x14ac:dyDescent="0.3">
      <c r="A5" s="49" t="s">
        <v>78</v>
      </c>
      <c r="B5" s="50">
        <v>158</v>
      </c>
      <c r="C5" s="51"/>
      <c r="D5" s="5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</row>
    <row r="6" spans="1:151" x14ac:dyDescent="0.3">
      <c r="A6" s="53" t="s">
        <v>79</v>
      </c>
      <c r="B6" s="54">
        <f>HLOOKUP(B5,1:1:2:2,2,0)</f>
        <v>66</v>
      </c>
      <c r="C6" s="51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</row>
    <row r="7" spans="1:151" x14ac:dyDescent="0.3">
      <c r="A7" s="53" t="s">
        <v>80</v>
      </c>
      <c r="B7" s="54">
        <f>SUM(B6-B8)</f>
        <v>41</v>
      </c>
      <c r="C7" s="51"/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</row>
    <row r="8" spans="1:151" x14ac:dyDescent="0.3">
      <c r="A8" s="53" t="s">
        <v>97</v>
      </c>
      <c r="B8" s="54">
        <f>SUM(C9:C25)</f>
        <v>25</v>
      </c>
      <c r="C8" s="53" t="s">
        <v>99</v>
      </c>
      <c r="D8" s="53" t="s">
        <v>101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</row>
    <row r="9" spans="1:151" x14ac:dyDescent="0.3">
      <c r="A9" s="55" t="s">
        <v>81</v>
      </c>
      <c r="B9" s="56">
        <v>5</v>
      </c>
      <c r="C9" s="57">
        <f>HLOOKUP(B9,3:3:4:4,2,0)</f>
        <v>25</v>
      </c>
      <c r="D9" s="57">
        <f>SUM(B9*30)</f>
        <v>150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</row>
    <row r="10" spans="1:151" x14ac:dyDescent="0.3">
      <c r="A10" s="58" t="s">
        <v>82</v>
      </c>
      <c r="B10" s="56">
        <v>0</v>
      </c>
      <c r="C10" s="51">
        <f>HLOOKUP(B10,3:3:4:4,2,0)</f>
        <v>0</v>
      </c>
      <c r="D10" s="51">
        <f t="shared" ref="D10:D12" si="0">SUM(B10*30)</f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</row>
    <row r="11" spans="1:151" x14ac:dyDescent="0.3">
      <c r="A11" s="58" t="s">
        <v>83</v>
      </c>
      <c r="B11" s="56">
        <v>0</v>
      </c>
      <c r="C11" s="51">
        <f>HLOOKUP(B11,3:3:4:4,2,0)</f>
        <v>0</v>
      </c>
      <c r="D11" s="51">
        <f t="shared" si="0"/>
        <v>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</row>
    <row r="12" spans="1:151" x14ac:dyDescent="0.3">
      <c r="A12" s="58" t="s">
        <v>84</v>
      </c>
      <c r="B12" s="56">
        <v>0</v>
      </c>
      <c r="C12" s="51">
        <f>HLOOKUP(B12,3:3:4:4,2,0)</f>
        <v>0</v>
      </c>
      <c r="D12" s="51">
        <f t="shared" si="0"/>
        <v>0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</row>
    <row r="13" spans="1:151" x14ac:dyDescent="0.3">
      <c r="A13" s="58" t="s">
        <v>85</v>
      </c>
      <c r="B13" s="56">
        <v>0</v>
      </c>
      <c r="C13" s="51">
        <f>HLOOKUP(B13,3:3:4:4,2,0)</f>
        <v>0</v>
      </c>
      <c r="D13" s="59">
        <f>SUM(B13*0.02)</f>
        <v>0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</row>
    <row r="14" spans="1:151" x14ac:dyDescent="0.3">
      <c r="A14" s="58" t="s">
        <v>86</v>
      </c>
      <c r="B14" s="56">
        <v>0</v>
      </c>
      <c r="C14" s="51">
        <f>HLOOKUP(B14,3:3:4:4,2,0)</f>
        <v>0</v>
      </c>
      <c r="D14" s="59">
        <f>SUM(B14*0.02)</f>
        <v>0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</row>
    <row r="15" spans="1:151" x14ac:dyDescent="0.3">
      <c r="A15" s="58" t="s">
        <v>98</v>
      </c>
      <c r="B15" s="56">
        <v>0</v>
      </c>
      <c r="C15" s="51">
        <f>HLOOKUP(B15,3:3:4:4,2,0)</f>
        <v>0</v>
      </c>
      <c r="D15" s="51">
        <f>SUM(B15*10)</f>
        <v>0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</row>
    <row r="16" spans="1:151" x14ac:dyDescent="0.3">
      <c r="A16" s="66" t="s">
        <v>87</v>
      </c>
      <c r="B16" s="56">
        <v>0</v>
      </c>
      <c r="C16" s="51">
        <f>HLOOKUP(B16,3:3:4:4,2,0)</f>
        <v>0</v>
      </c>
      <c r="D16" s="59">
        <f>IF(B16&lt;=5,(B16*0.01),(((B16-5)*0.02)+0.05))</f>
        <v>0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</row>
    <row r="17" spans="1:65" x14ac:dyDescent="0.3">
      <c r="A17" s="58" t="s">
        <v>88</v>
      </c>
      <c r="B17" s="56">
        <v>0</v>
      </c>
      <c r="C17" s="51">
        <f>HLOOKUP(B17,3:3:4:4,2,0)</f>
        <v>0</v>
      </c>
      <c r="D17" s="59">
        <f>SUM(B17*0.01)</f>
        <v>0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</row>
    <row r="18" spans="1:65" x14ac:dyDescent="0.3">
      <c r="A18" s="58" t="s">
        <v>89</v>
      </c>
      <c r="B18" s="56">
        <v>0</v>
      </c>
      <c r="C18" s="51">
        <f>HLOOKUP(B18,3:3:4:4,2,0)</f>
        <v>0</v>
      </c>
      <c r="D18" s="59">
        <f>SUM(B18*0.03)</f>
        <v>0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</row>
    <row r="19" spans="1:65" x14ac:dyDescent="0.3">
      <c r="A19" s="58" t="s">
        <v>90</v>
      </c>
      <c r="B19" s="56">
        <v>0</v>
      </c>
      <c r="C19" s="51">
        <f>HLOOKUP(B19,3:3:4:4,2,0)</f>
        <v>0</v>
      </c>
      <c r="D19" s="59">
        <f>SUM(B19*0.03)</f>
        <v>0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</row>
    <row r="20" spans="1:65" x14ac:dyDescent="0.3">
      <c r="A20" s="66" t="s">
        <v>91</v>
      </c>
      <c r="B20" s="56">
        <v>0</v>
      </c>
      <c r="C20" s="51">
        <f>HLOOKUP(B20,3:3:4:4,2,0)</f>
        <v>0</v>
      </c>
      <c r="D20" s="59">
        <f>IF(B20&lt;=5,(B20*0.03),(((B20-5)*0.04)+0.15))</f>
        <v>0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</row>
    <row r="21" spans="1:65" x14ac:dyDescent="0.3">
      <c r="A21" s="66" t="s">
        <v>92</v>
      </c>
      <c r="B21" s="56">
        <v>0</v>
      </c>
      <c r="C21" s="51">
        <f>HLOOKUP(B21,3:3:4:4,2,0)</f>
        <v>0</v>
      </c>
      <c r="D21" s="65">
        <f>IF(B21&lt;=5,(B21*1),(((B21-5)*2)+5))</f>
        <v>0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</row>
    <row r="22" spans="1:65" x14ac:dyDescent="0.3">
      <c r="A22" s="58" t="s">
        <v>93</v>
      </c>
      <c r="B22" s="56">
        <v>0</v>
      </c>
      <c r="C22" s="51">
        <f>HLOOKUP(B22,3:3:4:4,2,0)</f>
        <v>0</v>
      </c>
      <c r="D22" s="59">
        <f>SUM(B22*0.02)</f>
        <v>0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</row>
    <row r="23" spans="1:65" x14ac:dyDescent="0.3">
      <c r="A23" s="58" t="s">
        <v>94</v>
      </c>
      <c r="B23" s="56">
        <v>0</v>
      </c>
      <c r="C23" s="51">
        <f>HLOOKUP(B23,3:3:4:4,2,0)</f>
        <v>0</v>
      </c>
      <c r="D23" s="51">
        <f>SUM(B23*3)</f>
        <v>0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</row>
    <row r="24" spans="1:65" x14ac:dyDescent="0.3">
      <c r="A24" s="66" t="s">
        <v>95</v>
      </c>
      <c r="B24" s="56">
        <v>0</v>
      </c>
      <c r="C24" s="51">
        <f>HLOOKUP(B24,3:3:4:4,2,0)</f>
        <v>0</v>
      </c>
      <c r="D24" s="60">
        <f>IF(B24&lt;=10,(B24*0.005),(((B24-10)*0.01))+0.05)</f>
        <v>0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</row>
    <row r="25" spans="1:65" x14ac:dyDescent="0.3">
      <c r="A25" s="66" t="s">
        <v>96</v>
      </c>
      <c r="B25" s="56">
        <v>0</v>
      </c>
      <c r="C25" s="51">
        <f>HLOOKUP(B25,3:3:4:4,2,0)</f>
        <v>0</v>
      </c>
      <c r="D25" s="51">
        <f>IF(B25&lt;=10,(B25*5),(((B25-10)*10))+50)</f>
        <v>0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</row>
    <row r="26" spans="1:65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</row>
    <row r="27" spans="1:65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</row>
    <row r="28" spans="1:65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</row>
    <row r="29" spans="1:65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</row>
    <row r="30" spans="1:65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</row>
    <row r="31" spans="1:65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</row>
    <row r="32" spans="1:65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</row>
    <row r="33" spans="1:65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</row>
    <row r="34" spans="1:65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</row>
    <row r="35" spans="1:65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</row>
    <row r="36" spans="1:65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</row>
    <row r="37" spans="1:65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</row>
    <row r="38" spans="1:65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</row>
    <row r="39" spans="1:65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</row>
    <row r="40" spans="1:65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</row>
    <row r="41" spans="1:65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</row>
    <row r="42" spans="1:65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</row>
    <row r="43" spans="1:65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</row>
    <row r="44" spans="1:65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</row>
    <row r="45" spans="1:65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</row>
    <row r="46" spans="1:65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</row>
    <row r="47" spans="1:65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</row>
    <row r="48" spans="1:65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</row>
    <row r="49" spans="1:65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</row>
    <row r="50" spans="1:65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</row>
    <row r="51" spans="1:65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</row>
  </sheetData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캐시아이템 효율</vt:lpstr>
      <vt:lpstr>하이퍼스텟 효율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kke320@naver.com</cp:lastModifiedBy>
  <cp:revision/>
  <dcterms:created xsi:type="dcterms:W3CDTF">2019-08-09T14:04:48Z</dcterms:created>
  <dcterms:modified xsi:type="dcterms:W3CDTF">2020-01-28T18:25:10Z</dcterms:modified>
  <cp:category/>
  <cp:contentStatus/>
</cp:coreProperties>
</file>