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4885efd4d59ad0a/바탕 화면/"/>
    </mc:Choice>
  </mc:AlternateContent>
  <xr:revisionPtr revIDLastSave="430" documentId="8_{495E4E14-7879-8A42-BA6E-0F44FEB852F2}" xr6:coauthVersionLast="44" xr6:coauthVersionMax="45" xr10:uidLastSave="{95FECCBC-EDB3-4DEA-8FAF-A0F79DEA0CFE}"/>
  <bookViews>
    <workbookView xWindow="18915" yWindow="750" windowWidth="19485" windowHeight="13515" xr2:uid="{DE7A83E8-576D-4320-9D02-616F32A5ACD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G3" i="1" l="1"/>
  <c r="H3" i="1" s="1"/>
  <c r="F28" i="1" l="1"/>
  <c r="F27" i="1"/>
  <c r="F37" i="1" l="1"/>
  <c r="F23" i="1"/>
  <c r="H4" i="1"/>
  <c r="F22" i="1" s="1"/>
  <c r="G7" i="1" l="1"/>
  <c r="F24" i="1" s="1"/>
  <c r="G14" i="1"/>
  <c r="H14" i="1" s="1"/>
  <c r="F38" i="1" s="1"/>
  <c r="G13" i="1"/>
  <c r="H13" i="1" s="1"/>
  <c r="F36" i="1" l="1"/>
  <c r="F35" i="1"/>
  <c r="G5" i="1"/>
  <c r="G12" i="1" l="1"/>
  <c r="F29" i="1" l="1"/>
  <c r="H12" i="1"/>
  <c r="F30" i="1"/>
  <c r="G11" i="1"/>
  <c r="F26" i="1" s="1"/>
  <c r="G10" i="1"/>
  <c r="F25" i="1" s="1"/>
  <c r="G8" i="1" l="1"/>
  <c r="F33" i="1" s="1"/>
  <c r="G4" i="1"/>
  <c r="F21" i="1" s="1"/>
  <c r="F19" i="1"/>
  <c r="F20" i="1" l="1"/>
  <c r="H8" i="1"/>
  <c r="F34" i="1" s="1"/>
  <c r="G9" i="1"/>
  <c r="F31" i="1" s="1"/>
  <c r="H9" i="1" l="1"/>
  <c r="F32" i="1" s="1"/>
</calcChain>
</file>

<file path=xl/sharedStrings.xml><?xml version="1.0" encoding="utf-8"?>
<sst xmlns="http://schemas.openxmlformats.org/spreadsheetml/2006/main" count="57" uniqueCount="54">
  <si>
    <t>가격(골드)</t>
    <phoneticPr fontId="1" type="noConversion"/>
  </si>
  <si>
    <t>골드가치(귀속 포함)</t>
    <phoneticPr fontId="1" type="noConversion"/>
  </si>
  <si>
    <t>우마늄</t>
    <phoneticPr fontId="1" type="noConversion"/>
  </si>
  <si>
    <t>갈라토늄</t>
    <phoneticPr fontId="1" type="noConversion"/>
  </si>
  <si>
    <t>대지의 숨결</t>
  </si>
  <si>
    <t>용암의 숨결</t>
  </si>
  <si>
    <t>아크투르스 숨결</t>
  </si>
  <si>
    <t>부서진 돌파석</t>
  </si>
  <si>
    <t>단단한 돌파석</t>
  </si>
  <si>
    <t>연마된 돌파석</t>
  </si>
  <si>
    <t>망각의 미궁 입장권</t>
    <phoneticPr fontId="1" type="noConversion"/>
  </si>
  <si>
    <t>골드/원</t>
    <phoneticPr fontId="1" type="noConversion"/>
  </si>
  <si>
    <t>안타레스 입장권</t>
    <phoneticPr fontId="1" type="noConversion"/>
  </si>
  <si>
    <t>시급(원)</t>
    <phoneticPr fontId="1" type="noConversion"/>
  </si>
  <si>
    <t>허영의 미궁 입장권</t>
    <phoneticPr fontId="1" type="noConversion"/>
  </si>
  <si>
    <t>엘리트큐브 다이아</t>
    <phoneticPr fontId="1" type="noConversion"/>
  </si>
  <si>
    <t>업화 입장권</t>
    <phoneticPr fontId="1" type="noConversion"/>
  </si>
  <si>
    <t>디멘션큐브 다이아</t>
  </si>
  <si>
    <t>갈망의 파편</t>
  </si>
  <si>
    <t>망각의 미궁</t>
    <phoneticPr fontId="1" type="noConversion"/>
  </si>
  <si>
    <t>주간레이드Ⅱ 입장권</t>
    <phoneticPr fontId="1" type="noConversion"/>
  </si>
  <si>
    <t>주간레이드Ⅱ 버스비</t>
    <phoneticPr fontId="1" type="noConversion"/>
  </si>
  <si>
    <t>허영의 미궁</t>
    <phoneticPr fontId="1" type="noConversion"/>
  </si>
  <si>
    <t>주간레이드Ⅱ</t>
    <phoneticPr fontId="1" type="noConversion"/>
  </si>
  <si>
    <t>주간레이드Ⅱ 버스타기</t>
    <phoneticPr fontId="1" type="noConversion"/>
  </si>
  <si>
    <t>희귀 일반지도 순회</t>
  </si>
  <si>
    <t>희귀 노래지도 순회</t>
  </si>
  <si>
    <t>카오스던전 잊혀진 상흔</t>
  </si>
  <si>
    <t>미스틱 3페</t>
    <phoneticPr fontId="1" type="noConversion"/>
  </si>
  <si>
    <t>카이슈테르 3페</t>
    <phoneticPr fontId="1" type="noConversion"/>
  </si>
  <si>
    <t>카이슈테르 3페 (귀속 포함)</t>
    <phoneticPr fontId="1" type="noConversion"/>
  </si>
  <si>
    <t>시간(분)</t>
    <phoneticPr fontId="1" type="noConversion"/>
  </si>
  <si>
    <t>허영의 미궁 28판</t>
    <phoneticPr fontId="1" type="noConversion"/>
  </si>
  <si>
    <t>엘다큐 1판</t>
    <phoneticPr fontId="1" type="noConversion"/>
  </si>
  <si>
    <t>디다큐 1판</t>
    <phoneticPr fontId="1" type="noConversion"/>
  </si>
  <si>
    <t>희귀 일반지도 4장 순회</t>
    <phoneticPr fontId="1" type="noConversion"/>
  </si>
  <si>
    <t>희귀 노래지도 3장 순회</t>
    <phoneticPr fontId="1" type="noConversion"/>
  </si>
  <si>
    <t>카오스던전 잊혀진 상흔 3판</t>
    <phoneticPr fontId="1" type="noConversion"/>
  </si>
  <si>
    <t>미스틱 3페 3수</t>
    <phoneticPr fontId="1" type="noConversion"/>
  </si>
  <si>
    <t>미스틱 3페 (귀속 포함)</t>
    <phoneticPr fontId="1" type="noConversion"/>
  </si>
  <si>
    <t>아카테스 버스 운행 7회</t>
    <phoneticPr fontId="1" type="noConversion"/>
  </si>
  <si>
    <t>아카테스 버스 운행</t>
    <phoneticPr fontId="1" type="noConversion"/>
  </si>
  <si>
    <t>아카테스 버스비</t>
    <phoneticPr fontId="1" type="noConversion"/>
  </si>
  <si>
    <t>주간레이드Ⅱ (귀속 포함)</t>
    <phoneticPr fontId="1" type="noConversion"/>
  </si>
  <si>
    <t>주간레이드Ⅱ 버스타기 (귀속 포함)</t>
    <phoneticPr fontId="1" type="noConversion"/>
  </si>
  <si>
    <t>태양석 파편 주머니 (중)</t>
    <phoneticPr fontId="1" type="noConversion"/>
  </si>
  <si>
    <t>100크리스탈 골드 가격</t>
    <phoneticPr fontId="1" type="noConversion"/>
  </si>
  <si>
    <t>로열 크리스탈 충전 할인율 (%)</t>
    <phoneticPr fontId="1" type="noConversion"/>
  </si>
  <si>
    <t>망각의 미궁 30판</t>
    <phoneticPr fontId="1" type="noConversion"/>
  </si>
  <si>
    <t>업화의 혈투장 (결정)</t>
    <phoneticPr fontId="1" type="noConversion"/>
  </si>
  <si>
    <t>망각의 미궁 (태양석, 실링 포함)</t>
    <phoneticPr fontId="1" type="noConversion"/>
  </si>
  <si>
    <t>허영의 미궁 (귀속 포함)</t>
    <phoneticPr fontId="1" type="noConversion"/>
  </si>
  <si>
    <t>카오스던전 잊혀진 상흔 (귀속 포함)</t>
    <phoneticPr fontId="1" type="noConversion"/>
  </si>
  <si>
    <t>골드 기대값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</si>
</sst>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993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/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41" fontId="0" fillId="5" borderId="4" xfId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41" fontId="0" fillId="4" borderId="4" xfId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41" fontId="0" fillId="2" borderId="4" xfId="1" applyFont="1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41" fontId="0" fillId="10" borderId="4" xfId="1" applyFont="1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41" fontId="0" fillId="11" borderId="4" xfId="1" applyFont="1" applyFill="1" applyBorder="1" applyAlignment="1">
      <alignment horizontal="center" vertical="center"/>
    </xf>
    <xf numFmtId="41" fontId="0" fillId="11" borderId="6" xfId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1" fontId="0" fillId="4" borderId="2" xfId="1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41" fontId="0" fillId="6" borderId="4" xfId="1" applyFont="1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41" fontId="0" fillId="8" borderId="4" xfId="0" applyNumberFormat="1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41" fontId="0" fillId="9" borderId="4" xfId="0" applyNumberFormat="1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41" fontId="0" fillId="7" borderId="4" xfId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41" fontId="0" fillId="3" borderId="4" xfId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colors>
    <mruColors>
      <color rgb="FFFF9933"/>
      <color rgb="FFFF6600"/>
      <color rgb="FFFF505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8C469-64F2-48CE-8EA5-74A3C40FB284}">
  <dimension ref="B1:H38"/>
  <sheetViews>
    <sheetView tabSelected="1" topLeftCell="A4" workbookViewId="0">
      <selection activeCell="H17" sqref="H17"/>
    </sheetView>
  </sheetViews>
  <sheetFormatPr defaultColWidth="9" defaultRowHeight="16.5" x14ac:dyDescent="0.3"/>
  <cols>
    <col min="1" max="1" width="3.875" style="1" customWidth="1"/>
    <col min="2" max="2" width="23.5" style="1" bestFit="1" customWidth="1"/>
    <col min="3" max="3" width="10.25" style="1" bestFit="1" customWidth="1"/>
    <col min="4" max="4" width="9" style="1" customWidth="1"/>
    <col min="5" max="5" width="33.875" style="1" bestFit="1" customWidth="1"/>
    <col min="6" max="6" width="8.375" style="1" bestFit="1" customWidth="1"/>
    <col min="7" max="7" width="12.75" style="1" bestFit="1" customWidth="1"/>
    <col min="8" max="8" width="19.25" style="1" bestFit="1" customWidth="1"/>
    <col min="9" max="16384" width="9" style="1"/>
  </cols>
  <sheetData>
    <row r="1" spans="2:8" ht="17.25" thickBot="1" x14ac:dyDescent="0.35">
      <c r="D1" s="2"/>
    </row>
    <row r="2" spans="2:8" ht="17.25" thickBot="1" x14ac:dyDescent="0.35">
      <c r="B2" s="26"/>
      <c r="C2" s="45" t="s">
        <v>0</v>
      </c>
      <c r="D2" s="2"/>
      <c r="F2" s="1" t="s">
        <v>31</v>
      </c>
      <c r="G2" s="1" t="s">
        <v>53</v>
      </c>
      <c r="H2" s="1" t="s">
        <v>1</v>
      </c>
    </row>
    <row r="3" spans="2:8" ht="17.25" thickBot="1" x14ac:dyDescent="0.35">
      <c r="B3" s="35" t="s">
        <v>45</v>
      </c>
      <c r="C3" s="47">
        <v>10</v>
      </c>
      <c r="D3" s="2"/>
      <c r="E3" s="1" t="s">
        <v>48</v>
      </c>
      <c r="F3" s="48">
        <v>60</v>
      </c>
      <c r="G3" s="1">
        <f>SUM(PRODUCT(C13,9),PRODUCT(C12,-30))</f>
        <v>390</v>
      </c>
      <c r="H3" s="1">
        <f>SUM(G3,500*30/22,PRODUCT(C3,10*30/22))</f>
        <v>1208.1818181818185</v>
      </c>
    </row>
    <row r="4" spans="2:8" ht="17.25" thickBot="1" x14ac:dyDescent="0.35">
      <c r="B4" s="36" t="s">
        <v>2</v>
      </c>
      <c r="C4" s="47">
        <v>5.4</v>
      </c>
      <c r="D4" s="2"/>
      <c r="E4" s="1" t="s">
        <v>32</v>
      </c>
      <c r="F4" s="48">
        <v>60</v>
      </c>
      <c r="G4" s="1">
        <f>SUM(PRODUCT(C15,30*28/100),PRODUCT(C10,66*28/100),-PRODUCT(C14,28))</f>
        <v>1060.6399999999999</v>
      </c>
      <c r="H4" s="1">
        <f>ROUND(SUM(C15*30*28/100,C10*66*28/100,C7*3.66*28/100,C8*28/100,C11*25*28/100,C19*33*28/100,-C14*100*28/100),1)</f>
        <v>1941</v>
      </c>
    </row>
    <row r="5" spans="2:8" ht="17.25" thickBot="1" x14ac:dyDescent="0.35">
      <c r="B5" s="37" t="s">
        <v>3</v>
      </c>
      <c r="C5" s="47">
        <v>1.5</v>
      </c>
      <c r="D5" s="2"/>
      <c r="E5" s="1" t="s">
        <v>33</v>
      </c>
      <c r="F5" s="48">
        <v>13</v>
      </c>
      <c r="G5" s="1">
        <f>470</f>
        <v>470</v>
      </c>
    </row>
    <row r="6" spans="2:8" ht="17.25" thickBot="1" x14ac:dyDescent="0.35">
      <c r="B6" s="36" t="s">
        <v>4</v>
      </c>
      <c r="C6" s="47">
        <v>40</v>
      </c>
      <c r="D6" s="2"/>
      <c r="E6" s="1" t="s">
        <v>34</v>
      </c>
      <c r="F6" s="48">
        <v>12</v>
      </c>
      <c r="G6" s="1">
        <v>600</v>
      </c>
    </row>
    <row r="7" spans="2:8" ht="17.25" thickBot="1" x14ac:dyDescent="0.35">
      <c r="B7" s="38" t="s">
        <v>5</v>
      </c>
      <c r="C7" s="47">
        <v>45</v>
      </c>
      <c r="D7" s="2"/>
      <c r="E7" s="1" t="s">
        <v>40</v>
      </c>
      <c r="F7" s="48">
        <v>60</v>
      </c>
      <c r="G7" s="1">
        <f>(C18*3-30)*7</f>
        <v>1260</v>
      </c>
    </row>
    <row r="8" spans="2:8" ht="17.25" thickBot="1" x14ac:dyDescent="0.35">
      <c r="B8" s="37" t="s">
        <v>6</v>
      </c>
      <c r="C8" s="47">
        <v>670</v>
      </c>
      <c r="D8" s="2"/>
      <c r="E8" s="1" t="s">
        <v>23</v>
      </c>
      <c r="F8" s="48">
        <v>10</v>
      </c>
      <c r="G8" s="1">
        <f>SUM(PRODUCT(C4,46),PRODUCT(C5,189),223,-PRODUCT(C16,4))</f>
        <v>454.9</v>
      </c>
      <c r="H8" s="1">
        <f>G8+C9*5+C10*6+C11</f>
        <v>672.9</v>
      </c>
    </row>
    <row r="9" spans="2:8" ht="17.25" thickBot="1" x14ac:dyDescent="0.35">
      <c r="B9" s="36" t="s">
        <v>7</v>
      </c>
      <c r="C9" s="47">
        <v>4</v>
      </c>
      <c r="E9" s="1" t="s">
        <v>24</v>
      </c>
      <c r="F9" s="48">
        <v>10</v>
      </c>
      <c r="G9" s="1">
        <f>G8-C17</f>
        <v>204.89999999999998</v>
      </c>
      <c r="H9" s="1">
        <f>H8-C17</f>
        <v>422.9</v>
      </c>
    </row>
    <row r="10" spans="2:8" ht="17.25" thickBot="1" x14ac:dyDescent="0.35">
      <c r="B10" s="38" t="s">
        <v>8</v>
      </c>
      <c r="C10" s="47">
        <v>18</v>
      </c>
      <c r="E10" s="1" t="s">
        <v>35</v>
      </c>
      <c r="F10" s="48">
        <v>20</v>
      </c>
      <c r="G10" s="1">
        <f>C9*16+C10*16+C3*8</f>
        <v>432</v>
      </c>
    </row>
    <row r="11" spans="2:8" ht="17.25" thickBot="1" x14ac:dyDescent="0.35">
      <c r="B11" s="39" t="s">
        <v>9</v>
      </c>
      <c r="C11" s="47">
        <v>90</v>
      </c>
      <c r="E11" s="1" t="s">
        <v>36</v>
      </c>
      <c r="F11" s="48">
        <v>16</v>
      </c>
      <c r="G11" s="1">
        <f>C3*6+C6*12+530</f>
        <v>1070</v>
      </c>
    </row>
    <row r="12" spans="2:8" ht="17.25" thickBot="1" x14ac:dyDescent="0.35">
      <c r="B12" s="40" t="s">
        <v>10</v>
      </c>
      <c r="C12" s="47">
        <v>8</v>
      </c>
      <c r="E12" s="1" t="s">
        <v>37</v>
      </c>
      <c r="F12" s="48">
        <v>8</v>
      </c>
      <c r="G12" s="1">
        <f>C14*3</f>
        <v>255</v>
      </c>
      <c r="H12" s="1">
        <f>G12+C11*3</f>
        <v>525</v>
      </c>
    </row>
    <row r="13" spans="2:8" ht="17.25" thickBot="1" x14ac:dyDescent="0.35">
      <c r="B13" s="41" t="s">
        <v>12</v>
      </c>
      <c r="C13" s="47">
        <v>70</v>
      </c>
      <c r="E13" s="1" t="s">
        <v>38</v>
      </c>
      <c r="F13" s="48">
        <v>50</v>
      </c>
      <c r="G13" s="1">
        <f>C4*108+C5*435+C19*90+1350+C8*3/7</f>
        <v>3034.8428571428572</v>
      </c>
      <c r="H13" s="1">
        <f>ROUND(G13+C11*3+C10*18,1)</f>
        <v>3628.8</v>
      </c>
    </row>
    <row r="14" spans="2:8" ht="17.25" thickBot="1" x14ac:dyDescent="0.35">
      <c r="B14" s="41" t="s">
        <v>14</v>
      </c>
      <c r="C14" s="47">
        <v>85</v>
      </c>
      <c r="E14" s="1" t="s">
        <v>29</v>
      </c>
      <c r="F14" s="46">
        <v>24</v>
      </c>
      <c r="G14" s="1">
        <f>1500+60*C19</f>
        <v>1608</v>
      </c>
      <c r="H14" s="1">
        <f>ROUND(G14+C11*5+3*2750/2/F17+12*550/2/F17,1)</f>
        <v>4378.8</v>
      </c>
    </row>
    <row r="15" spans="2:8" ht="17.25" thickBot="1" x14ac:dyDescent="0.35">
      <c r="B15" s="41" t="s">
        <v>16</v>
      </c>
      <c r="C15" s="47">
        <v>370</v>
      </c>
      <c r="E15" s="30" t="s">
        <v>46</v>
      </c>
      <c r="F15" s="31">
        <v>808</v>
      </c>
    </row>
    <row r="16" spans="2:8" ht="17.25" thickBot="1" x14ac:dyDescent="0.35">
      <c r="B16" s="42" t="s">
        <v>20</v>
      </c>
      <c r="C16" s="47">
        <v>75</v>
      </c>
      <c r="E16" s="32" t="s">
        <v>47</v>
      </c>
      <c r="F16" s="33">
        <v>6</v>
      </c>
    </row>
    <row r="17" spans="2:6" ht="17.25" thickBot="1" x14ac:dyDescent="0.35">
      <c r="B17" s="43" t="s">
        <v>21</v>
      </c>
      <c r="C17" s="47">
        <v>250</v>
      </c>
      <c r="E17" s="28" t="s">
        <v>11</v>
      </c>
      <c r="F17" s="29">
        <f>ROUND(27.5*(100-F16)/F15,4)</f>
        <v>3.1993</v>
      </c>
    </row>
    <row r="18" spans="2:6" ht="17.25" thickBot="1" x14ac:dyDescent="0.35">
      <c r="B18" s="42" t="s">
        <v>42</v>
      </c>
      <c r="C18" s="47">
        <v>70</v>
      </c>
      <c r="E18" s="3"/>
      <c r="F18" s="27" t="s">
        <v>13</v>
      </c>
    </row>
    <row r="19" spans="2:6" ht="17.25" thickBot="1" x14ac:dyDescent="0.35">
      <c r="B19" s="44" t="s">
        <v>18</v>
      </c>
      <c r="C19" s="47">
        <v>1.8</v>
      </c>
      <c r="E19" s="16" t="s">
        <v>19</v>
      </c>
      <c r="F19" s="17">
        <f>ROUND(PRODUCT(G3,F17,60/F3),0)</f>
        <v>1248</v>
      </c>
    </row>
    <row r="20" spans="2:6" x14ac:dyDescent="0.3">
      <c r="E20" s="6" t="s">
        <v>50</v>
      </c>
      <c r="F20" s="7">
        <f>ROUND(PRODUCT(H3,F17,60/F3),0)</f>
        <v>3865</v>
      </c>
    </row>
    <row r="21" spans="2:6" x14ac:dyDescent="0.3">
      <c r="D21" s="3"/>
      <c r="E21" s="8" t="s">
        <v>22</v>
      </c>
      <c r="F21" s="9">
        <f>ROUND(60/F4*100/28*PRODUCT(F17,QUOTIENT(G4,3.5)),0)</f>
        <v>3462</v>
      </c>
    </row>
    <row r="22" spans="2:6" x14ac:dyDescent="0.3">
      <c r="E22" s="8" t="s">
        <v>51</v>
      </c>
      <c r="F22" s="9">
        <f>60/F4*100/28*PRODUCT(F17,QUOTIENT(H4,3.5))</f>
        <v>6330.0435714285713</v>
      </c>
    </row>
    <row r="23" spans="2:6" x14ac:dyDescent="0.3">
      <c r="D23" s="3"/>
      <c r="E23" s="32" t="s">
        <v>49</v>
      </c>
      <c r="F23" s="34">
        <f>1500*27.5*0.01*(100-F16)-C15*30*F17</f>
        <v>3262.7699999999968</v>
      </c>
    </row>
    <row r="24" spans="2:6" x14ac:dyDescent="0.3">
      <c r="D24" s="3"/>
      <c r="E24" s="18" t="s">
        <v>41</v>
      </c>
      <c r="F24" s="19">
        <f>PRODUCT(G7,F17,60/F7)</f>
        <v>4031.1179999999999</v>
      </c>
    </row>
    <row r="25" spans="2:6" x14ac:dyDescent="0.3">
      <c r="E25" s="20" t="s">
        <v>25</v>
      </c>
      <c r="F25" s="21">
        <f>G10*60/F10*F17</f>
        <v>4146.2928000000002</v>
      </c>
    </row>
    <row r="26" spans="2:6" x14ac:dyDescent="0.3">
      <c r="E26" s="20" t="s">
        <v>26</v>
      </c>
      <c r="F26" s="21">
        <f>G11*60/F11*F17</f>
        <v>12837.19125</v>
      </c>
    </row>
    <row r="27" spans="2:6" x14ac:dyDescent="0.3">
      <c r="E27" s="4" t="s">
        <v>15</v>
      </c>
      <c r="F27" s="5">
        <f>G5*60/F5*2.8</f>
        <v>6073.8461538461534</v>
      </c>
    </row>
    <row r="28" spans="2:6" x14ac:dyDescent="0.3">
      <c r="E28" s="4" t="s">
        <v>17</v>
      </c>
      <c r="F28" s="5">
        <f>PRODUCT(G6,F17,60/F6)</f>
        <v>9597.9</v>
      </c>
    </row>
    <row r="29" spans="2:6" x14ac:dyDescent="0.3">
      <c r="E29" s="22" t="s">
        <v>27</v>
      </c>
      <c r="F29" s="23">
        <f>G12*60/F12*F17</f>
        <v>6118.6612500000001</v>
      </c>
    </row>
    <row r="30" spans="2:6" x14ac:dyDescent="0.3">
      <c r="E30" s="22" t="s">
        <v>52</v>
      </c>
      <c r="F30" s="23">
        <f>H12*60/F12*F17</f>
        <v>12597.24375</v>
      </c>
    </row>
    <row r="31" spans="2:6" x14ac:dyDescent="0.3">
      <c r="E31" s="24" t="s">
        <v>24</v>
      </c>
      <c r="F31" s="25">
        <f>ROUND(G9*60/F9*F17,0)</f>
        <v>3933</v>
      </c>
    </row>
    <row r="32" spans="2:6" x14ac:dyDescent="0.3">
      <c r="E32" s="24" t="s">
        <v>44</v>
      </c>
      <c r="F32" s="25">
        <f>ROUND(H9*F17*60/F9,0)</f>
        <v>8118</v>
      </c>
    </row>
    <row r="33" spans="5:6" x14ac:dyDescent="0.3">
      <c r="E33" s="24" t="s">
        <v>23</v>
      </c>
      <c r="F33" s="25">
        <f>ROUND(G8*60/F8*F17,0)</f>
        <v>8732</v>
      </c>
    </row>
    <row r="34" spans="5:6" x14ac:dyDescent="0.3">
      <c r="E34" s="24" t="s">
        <v>43</v>
      </c>
      <c r="F34" s="25">
        <f>ROUND(H8*F17*60/F8,0)</f>
        <v>12917</v>
      </c>
    </row>
    <row r="35" spans="5:6" x14ac:dyDescent="0.3">
      <c r="E35" s="10" t="s">
        <v>28</v>
      </c>
      <c r="F35" s="11">
        <f>G13*F17*60/F13</f>
        <v>11651.247303428572</v>
      </c>
    </row>
    <row r="36" spans="5:6" x14ac:dyDescent="0.3">
      <c r="E36" s="10" t="s">
        <v>39</v>
      </c>
      <c r="F36" s="11">
        <f>H13*F17*60/F13</f>
        <v>13931.543808000002</v>
      </c>
    </row>
    <row r="37" spans="5:6" x14ac:dyDescent="0.3">
      <c r="E37" s="12" t="s">
        <v>29</v>
      </c>
      <c r="F37" s="14">
        <f>G14*60/F14*F17</f>
        <v>12861.186</v>
      </c>
    </row>
    <row r="38" spans="5:6" ht="17.25" thickBot="1" x14ac:dyDescent="0.35">
      <c r="E38" s="13" t="s">
        <v>30</v>
      </c>
      <c r="F38" s="15">
        <f>H14*60/F14*F17</f>
        <v>35022.737099999998</v>
      </c>
    </row>
  </sheetData>
  <phoneticPr fontId="1" type="noConversion"/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E9D1FF3EE45CA743AFB6DF6EE8CE513B" ma:contentTypeVersion="6" ma:contentTypeDescription="새 문서를 만듭니다." ma:contentTypeScope="" ma:versionID="851f9438b06dc72d5a9507ad3cc04544">
  <xsd:schema xmlns:xsd="http://www.w3.org/2001/XMLSchema" xmlns:xs="http://www.w3.org/2001/XMLSchema" xmlns:p="http://schemas.microsoft.com/office/2006/metadata/properties" xmlns:ns3="db5ebe54-e523-4c37-8b82-c24127d2d435" targetNamespace="http://schemas.microsoft.com/office/2006/metadata/properties" ma:root="true" ma:fieldsID="cb48a005d3a23bc10544ac37d987d1be" ns3:_="">
    <xsd:import namespace="db5ebe54-e523-4c37-8b82-c24127d2d43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ebe54-e523-4c37-8b82-c24127d2d4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342D29-DB97-4A24-800F-6768F2666D5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89064A9-C268-41FF-8EC2-6BA1AE41E0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783362-5B75-437D-99FA-82CCDEFCFC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ebe54-e523-4c37-8b82-c24127d2d4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오세영</cp:lastModifiedBy>
  <cp:revision/>
  <dcterms:created xsi:type="dcterms:W3CDTF">2020-01-03T11:22:30Z</dcterms:created>
  <dcterms:modified xsi:type="dcterms:W3CDTF">2020-03-05T07:25:24Z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0x010100E9D1FF3EE45CA743AFB6DF6EE8CE513B</vt:lpwstr>
  </property>
</Properties>
</file>